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drawings/drawing8.xml" ContentType="application/vnd.openxmlformats-officedocument.drawing+xml"/>
  <Override PartName="/xl/ctrlProps/ctrlProp4.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630287\Documents\P_現戦略\運営再編支援システム\"/>
    </mc:Choice>
  </mc:AlternateContent>
  <xr:revisionPtr revIDLastSave="0" documentId="13_ncr:1_{59E7932F-62FB-4039-B519-88AA395940F3}" xr6:coauthVersionLast="47" xr6:coauthVersionMax="47" xr10:uidLastSave="{00000000-0000-0000-0000-000000000000}"/>
  <workbookProtection workbookAlgorithmName="SHA-512" workbookHashValue="UP16fzpUr1uWBLO720nfresTH3OmpvqKWuB7XJheZztxY65fhs9cEdScIoPLwTGFhz88iiY8UbCOgG7QkE5xmg==" workbookSaltValue="gucaqdunqIUBZel7zm3QCw==" workbookSpinCount="100000" lockStructure="1"/>
  <bookViews>
    <workbookView xWindow="1320" yWindow="2730" windowWidth="21900" windowHeight="14910" xr2:uid="{8BC61438-72B4-4F7B-A48A-065516B4862E}"/>
  </bookViews>
  <sheets>
    <sheet name="はじめに" sheetId="27" r:id="rId1"/>
    <sheet name="シナリオ設定ガイド" sheetId="28" r:id="rId2"/>
    <sheet name="記入する際の留意点" sheetId="29" r:id="rId3"/>
    <sheet name="コスト推計の方法" sheetId="31" r:id="rId4"/>
    <sheet name="比較評価" sheetId="14" r:id="rId5"/>
    <sheet name="シナリオ1" sheetId="32" r:id="rId6"/>
    <sheet name="シナリオ2" sheetId="33" r:id="rId7"/>
    <sheet name="シナリオ3" sheetId="34" r:id="rId8"/>
    <sheet name="DEMO" sheetId="23" state="hidden" r:id="rId9"/>
    <sheet name="以降は非表示シート" sheetId="30" state="hidden" r:id="rId10"/>
    <sheet name="Choices" sheetId="13" state="hidden" r:id="rId11"/>
    <sheet name="IC" sheetId="8" state="hidden" r:id="rId12"/>
    <sheet name="RC" sheetId="7" state="hidden" r:id="rId13"/>
    <sheet name="Version" sheetId="9" state="hidden" r:id="rId14"/>
  </sheets>
  <definedNames>
    <definedName name="_xlnm.Print_Area" localSheetId="8">DEMO!$A$1:$AA$56</definedName>
    <definedName name="_xlnm.Print_Area" localSheetId="3">コスト推計の方法!$A$1:$H$99</definedName>
    <definedName name="_xlnm.Print_Area" localSheetId="5">シナリオ1!$A$1:$AA$56</definedName>
    <definedName name="_xlnm.Print_Area" localSheetId="6">シナリオ2!$A$1:$AA$56</definedName>
    <definedName name="_xlnm.Print_Area" localSheetId="7">シナリオ3!$A$1:$AA$56</definedName>
    <definedName name="_xlnm.Print_Area" localSheetId="1">シナリオ設定ガイド!$A$1:$O$34</definedName>
    <definedName name="_xlnm.Print_Area" localSheetId="0">はじめに!$A$1:$P$32</definedName>
    <definedName name="_xlnm.Print_Area" localSheetId="4">比較評価!$A$1:$G$10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4" l="1"/>
  <c r="X1" i="32"/>
  <c r="X1" i="33"/>
  <c r="X1" i="34"/>
  <c r="X1" i="23"/>
  <c r="AG109" i="34"/>
  <c r="C10" i="14"/>
  <c r="C6" i="14"/>
  <c r="AG108" i="34"/>
  <c r="AG107" i="34"/>
  <c r="AI104" i="34"/>
  <c r="AI102" i="34"/>
  <c r="AF102" i="34"/>
  <c r="AE102" i="34"/>
  <c r="AD102" i="34"/>
  <c r="AI101" i="34"/>
  <c r="AD101" i="34"/>
  <c r="AD104" i="34" s="1"/>
  <c r="AD73" i="34" s="1"/>
  <c r="AI98" i="34"/>
  <c r="AH98" i="34"/>
  <c r="AE98" i="34"/>
  <c r="AD98" i="34"/>
  <c r="AI97" i="34"/>
  <c r="AE97" i="34"/>
  <c r="AD97" i="34"/>
  <c r="AI96" i="34"/>
  <c r="AE96" i="34"/>
  <c r="AI95" i="34"/>
  <c r="AF95" i="34"/>
  <c r="AD95" i="34"/>
  <c r="AI90" i="34"/>
  <c r="AI92" i="34" s="1"/>
  <c r="AH90" i="34"/>
  <c r="AE90" i="34"/>
  <c r="AD90" i="34"/>
  <c r="AI89" i="34"/>
  <c r="AE89" i="34"/>
  <c r="AD89" i="34"/>
  <c r="AI88" i="34"/>
  <c r="AH88" i="34"/>
  <c r="AD88" i="34"/>
  <c r="AI82" i="34"/>
  <c r="AF82" i="34"/>
  <c r="AE82" i="34"/>
  <c r="AD82" i="34"/>
  <c r="AI81" i="34"/>
  <c r="AE81" i="34"/>
  <c r="AE84" i="34" s="1"/>
  <c r="AE70" i="34" s="1"/>
  <c r="AD81" i="34"/>
  <c r="AD84" i="34" s="1"/>
  <c r="AD70" i="34" s="1"/>
  <c r="AI79" i="34"/>
  <c r="AE79" i="34"/>
  <c r="AD79" i="34"/>
  <c r="F75" i="34"/>
  <c r="F74" i="34"/>
  <c r="F73" i="34"/>
  <c r="F72" i="34"/>
  <c r="X71" i="34"/>
  <c r="J71" i="34"/>
  <c r="F71" i="34"/>
  <c r="X70" i="34"/>
  <c r="J70" i="34"/>
  <c r="F70" i="34"/>
  <c r="J69" i="34"/>
  <c r="F69" i="34"/>
  <c r="AD31" i="34" s="1"/>
  <c r="X68" i="34"/>
  <c r="J68" i="34"/>
  <c r="F68" i="34"/>
  <c r="AG67" i="34"/>
  <c r="J67" i="34"/>
  <c r="AF66" i="34"/>
  <c r="AE66" i="34"/>
  <c r="AD66" i="34"/>
  <c r="J66" i="34"/>
  <c r="X8" i="34" s="1"/>
  <c r="F55" i="14" s="1"/>
  <c r="AH65" i="34"/>
  <c r="AF65" i="34"/>
  <c r="AE65" i="34"/>
  <c r="AD65" i="34"/>
  <c r="X65" i="34"/>
  <c r="Q65" i="34"/>
  <c r="J65" i="34"/>
  <c r="F65" i="34"/>
  <c r="AD22" i="34" s="1"/>
  <c r="AH64" i="34"/>
  <c r="AF64" i="34"/>
  <c r="AE64" i="34"/>
  <c r="AD64" i="34"/>
  <c r="X64" i="34"/>
  <c r="Q64" i="34"/>
  <c r="J64" i="34"/>
  <c r="F64" i="34"/>
  <c r="AH63" i="34"/>
  <c r="AF63" i="34"/>
  <c r="AE63" i="34"/>
  <c r="AD63" i="34"/>
  <c r="Q63" i="34"/>
  <c r="J63" i="34"/>
  <c r="F63" i="34"/>
  <c r="AH62" i="34"/>
  <c r="AF62" i="34"/>
  <c r="AE62" i="34"/>
  <c r="AD62" i="34"/>
  <c r="Q62" i="34"/>
  <c r="J62" i="34"/>
  <c r="X61" i="34"/>
  <c r="Q61" i="34"/>
  <c r="J61" i="34"/>
  <c r="J60" i="34"/>
  <c r="F60" i="34"/>
  <c r="AD40" i="34" s="1"/>
  <c r="Y53" i="34"/>
  <c r="Y50" i="34"/>
  <c r="X67" i="34" s="1"/>
  <c r="Y47" i="34"/>
  <c r="Y46" i="34"/>
  <c r="X63" i="34" s="1"/>
  <c r="Y43" i="34"/>
  <c r="X60" i="34" s="1"/>
  <c r="E38" i="34"/>
  <c r="AD96" i="34" s="1"/>
  <c r="E37" i="34"/>
  <c r="E36" i="34"/>
  <c r="E35" i="34"/>
  <c r="E34" i="34"/>
  <c r="AF79" i="34" s="1"/>
  <c r="AD33" i="34"/>
  <c r="E33" i="34"/>
  <c r="E32" i="34"/>
  <c r="E31" i="34"/>
  <c r="AD30" i="34"/>
  <c r="E30" i="34"/>
  <c r="AH89" i="34" s="1"/>
  <c r="E27" i="34"/>
  <c r="E26" i="34"/>
  <c r="AE101" i="34" s="1"/>
  <c r="E25" i="34"/>
  <c r="AE95" i="34" s="1"/>
  <c r="E24" i="34"/>
  <c r="X23" i="34"/>
  <c r="E23" i="34"/>
  <c r="AH102" i="34" s="1"/>
  <c r="AD12" i="34"/>
  <c r="X9" i="34"/>
  <c r="F56" i="14" s="1"/>
  <c r="X7" i="34"/>
  <c r="F54" i="14" s="1"/>
  <c r="X6" i="34"/>
  <c r="F53" i="14" s="1"/>
  <c r="Q5" i="34"/>
  <c r="F5" i="14" s="1"/>
  <c r="E38" i="33"/>
  <c r="AF96" i="33" s="1"/>
  <c r="E37" i="33"/>
  <c r="E36" i="33"/>
  <c r="E35" i="33"/>
  <c r="AH79" i="33" s="1"/>
  <c r="E34" i="33"/>
  <c r="AH98" i="33" s="1"/>
  <c r="E33" i="33"/>
  <c r="E32" i="33"/>
  <c r="E31" i="33"/>
  <c r="E30" i="33"/>
  <c r="E27" i="33"/>
  <c r="E26" i="33"/>
  <c r="AE101" i="33" s="1"/>
  <c r="AE104" i="33" s="1"/>
  <c r="AE73" i="33" s="1"/>
  <c r="E25" i="33"/>
  <c r="AF81" i="33" s="1"/>
  <c r="E24" i="33"/>
  <c r="AH63" i="33" s="1"/>
  <c r="E23" i="33"/>
  <c r="AH64" i="33" s="1"/>
  <c r="AG108" i="33"/>
  <c r="AG107" i="33"/>
  <c r="AG109" i="33" s="1"/>
  <c r="AG74" i="33" s="1"/>
  <c r="AI104" i="33"/>
  <c r="AI102" i="33"/>
  <c r="AF102" i="33"/>
  <c r="AE102" i="33"/>
  <c r="AD102" i="33"/>
  <c r="AI101" i="33"/>
  <c r="AD101" i="33"/>
  <c r="AD104" i="33" s="1"/>
  <c r="AD73" i="33" s="1"/>
  <c r="AI98" i="33"/>
  <c r="AE98" i="33"/>
  <c r="AD98" i="33"/>
  <c r="AI97" i="33"/>
  <c r="AH97" i="33"/>
  <c r="AF97" i="33"/>
  <c r="AE97" i="33"/>
  <c r="AD97" i="33"/>
  <c r="AI96" i="33"/>
  <c r="AH96" i="33"/>
  <c r="AE96" i="33"/>
  <c r="AI95" i="33"/>
  <c r="AF95" i="33"/>
  <c r="AE95" i="33"/>
  <c r="AD95" i="33"/>
  <c r="AI90" i="33"/>
  <c r="AH90" i="33"/>
  <c r="AE90" i="33"/>
  <c r="AD90" i="33"/>
  <c r="AI89" i="33"/>
  <c r="AH89" i="33"/>
  <c r="AF89" i="33"/>
  <c r="AE89" i="33"/>
  <c r="AD89" i="33"/>
  <c r="AI88" i="33"/>
  <c r="AI92" i="33" s="1"/>
  <c r="AE88" i="33"/>
  <c r="AD88" i="33"/>
  <c r="AI87" i="33"/>
  <c r="AI82" i="33"/>
  <c r="AE82" i="33"/>
  <c r="AD82" i="33"/>
  <c r="AI81" i="33"/>
  <c r="AI84" i="33" s="1"/>
  <c r="AD81" i="33"/>
  <c r="AD84" i="33" s="1"/>
  <c r="AD70" i="33" s="1"/>
  <c r="AI79" i="33"/>
  <c r="AE79" i="33"/>
  <c r="AD79" i="33"/>
  <c r="F75" i="33"/>
  <c r="F74" i="33"/>
  <c r="F73" i="33"/>
  <c r="F72" i="33"/>
  <c r="X71" i="33"/>
  <c r="J71" i="33"/>
  <c r="F71" i="33"/>
  <c r="J70" i="33"/>
  <c r="F70" i="33"/>
  <c r="J69" i="33"/>
  <c r="F69" i="33"/>
  <c r="X68" i="33"/>
  <c r="J68" i="33"/>
  <c r="F68" i="33"/>
  <c r="AG67" i="33"/>
  <c r="J67" i="33"/>
  <c r="AF66" i="33"/>
  <c r="AE66" i="33"/>
  <c r="AD66" i="33"/>
  <c r="F66" i="33" s="1"/>
  <c r="AD26" i="33" s="1"/>
  <c r="J66" i="33"/>
  <c r="X8" i="33" s="1"/>
  <c r="E55" i="14" s="1"/>
  <c r="AF65" i="33"/>
  <c r="AE65" i="33"/>
  <c r="AD65" i="33"/>
  <c r="X65" i="33"/>
  <c r="Q65" i="33"/>
  <c r="J65" i="33"/>
  <c r="F65" i="33"/>
  <c r="AD22" i="33" s="1"/>
  <c r="AF64" i="33"/>
  <c r="AE64" i="33"/>
  <c r="AD64" i="33"/>
  <c r="Q64" i="33"/>
  <c r="J64" i="33"/>
  <c r="X6" i="33" s="1"/>
  <c r="E53" i="14" s="1"/>
  <c r="F64" i="33"/>
  <c r="AF63" i="33"/>
  <c r="AE63" i="33"/>
  <c r="AD63" i="33"/>
  <c r="X63" i="33"/>
  <c r="Q63" i="33"/>
  <c r="J63" i="33"/>
  <c r="AH62" i="33"/>
  <c r="AF62" i="33"/>
  <c r="AE62" i="33"/>
  <c r="AD62" i="33"/>
  <c r="Q62" i="33"/>
  <c r="J62" i="33"/>
  <c r="X61" i="33"/>
  <c r="Q61" i="33"/>
  <c r="Q72" i="33" s="1"/>
  <c r="Q73" i="33" s="1"/>
  <c r="J61" i="33"/>
  <c r="J72" i="33" s="1"/>
  <c r="J73" i="33" s="1"/>
  <c r="J60" i="33"/>
  <c r="X9" i="33" s="1"/>
  <c r="E56" i="14" s="1"/>
  <c r="F60" i="33"/>
  <c r="AD40" i="33" s="1"/>
  <c r="Y53" i="33"/>
  <c r="X70" i="33" s="1"/>
  <c r="Y50" i="33"/>
  <c r="X67" i="33" s="1"/>
  <c r="Y47" i="33"/>
  <c r="X64" i="33" s="1"/>
  <c r="Y46" i="33"/>
  <c r="Y43" i="33"/>
  <c r="X60" i="33" s="1"/>
  <c r="AD35" i="33"/>
  <c r="X23" i="33"/>
  <c r="AD12" i="33"/>
  <c r="X7" i="33"/>
  <c r="E54" i="14" s="1"/>
  <c r="Q5" i="33"/>
  <c r="E5" i="14" s="1"/>
  <c r="AG108" i="32"/>
  <c r="AG107" i="32"/>
  <c r="AG109" i="32" s="1"/>
  <c r="AG74" i="32" s="1"/>
  <c r="AI102" i="32"/>
  <c r="AH102" i="32"/>
  <c r="AF102" i="32"/>
  <c r="AE102" i="32"/>
  <c r="AD102" i="32"/>
  <c r="AI101" i="32"/>
  <c r="AH101" i="32"/>
  <c r="AH104" i="32" s="1"/>
  <c r="AH73" i="32" s="1"/>
  <c r="AF101" i="32"/>
  <c r="AF104" i="32" s="1"/>
  <c r="AF73" i="32" s="1"/>
  <c r="AE101" i="32"/>
  <c r="AE104" i="32" s="1"/>
  <c r="AE73" i="32" s="1"/>
  <c r="AD101" i="32"/>
  <c r="AD104" i="32" s="1"/>
  <c r="AD73" i="32" s="1"/>
  <c r="AI98" i="32"/>
  <c r="AH98" i="32"/>
  <c r="AF98" i="32"/>
  <c r="AE98" i="32"/>
  <c r="AD98" i="32"/>
  <c r="AI97" i="32"/>
  <c r="AH97" i="32"/>
  <c r="AF97" i="32"/>
  <c r="AE97" i="32"/>
  <c r="AD97" i="32"/>
  <c r="AI96" i="32"/>
  <c r="AH96" i="32"/>
  <c r="AF96" i="32"/>
  <c r="AE96" i="32"/>
  <c r="AD96" i="32"/>
  <c r="AI95" i="32"/>
  <c r="AH95" i="32"/>
  <c r="AF95" i="32"/>
  <c r="AE95" i="32"/>
  <c r="AD95" i="32"/>
  <c r="AI90" i="32"/>
  <c r="AH90" i="32"/>
  <c r="AF90" i="32"/>
  <c r="AE90" i="32"/>
  <c r="AD90" i="32"/>
  <c r="AI89" i="32"/>
  <c r="AH89" i="32"/>
  <c r="AF89" i="32"/>
  <c r="AE89" i="32"/>
  <c r="AD89" i="32"/>
  <c r="AI88" i="32"/>
  <c r="AH88" i="32"/>
  <c r="AF88" i="32"/>
  <c r="AE88" i="32"/>
  <c r="AD88" i="32"/>
  <c r="AD92" i="32" s="1"/>
  <c r="AD71" i="32" s="1"/>
  <c r="AD87" i="32"/>
  <c r="AD72" i="32" s="1"/>
  <c r="AH84" i="32"/>
  <c r="AH70" i="32" s="1"/>
  <c r="AI82" i="32"/>
  <c r="AI84" i="32" s="1"/>
  <c r="AH82" i="32"/>
  <c r="AF82" i="32"/>
  <c r="AE82" i="32"/>
  <c r="AD82" i="32"/>
  <c r="AI81" i="32"/>
  <c r="AH81" i="32"/>
  <c r="AF81" i="32"/>
  <c r="AE81" i="32"/>
  <c r="AD81" i="32"/>
  <c r="AD84" i="32" s="1"/>
  <c r="AD70" i="32" s="1"/>
  <c r="AI79" i="32"/>
  <c r="AH79" i="32"/>
  <c r="AF79" i="32"/>
  <c r="AE79" i="32"/>
  <c r="AD79" i="32"/>
  <c r="F75" i="32"/>
  <c r="F74" i="32"/>
  <c r="F73" i="32"/>
  <c r="F72" i="32"/>
  <c r="X71" i="32"/>
  <c r="J71" i="32"/>
  <c r="F71" i="32"/>
  <c r="J70" i="32"/>
  <c r="F70" i="32"/>
  <c r="J69" i="32"/>
  <c r="F69" i="32"/>
  <c r="X68" i="32"/>
  <c r="J68" i="32"/>
  <c r="F68" i="32"/>
  <c r="AG67" i="32"/>
  <c r="J67" i="32"/>
  <c r="F67" i="32"/>
  <c r="AD29" i="32" s="1"/>
  <c r="AH66" i="32"/>
  <c r="F76" i="32" s="1"/>
  <c r="AD13" i="32" s="1"/>
  <c r="AF66" i="32"/>
  <c r="AE66" i="32"/>
  <c r="AD66" i="32"/>
  <c r="J66" i="32"/>
  <c r="X8" i="32" s="1"/>
  <c r="D55" i="14" s="1"/>
  <c r="AH65" i="32"/>
  <c r="AF65" i="32"/>
  <c r="AE65" i="32"/>
  <c r="AD65" i="32"/>
  <c r="X65" i="32"/>
  <c r="Q65" i="32"/>
  <c r="J65" i="32"/>
  <c r="F65" i="32"/>
  <c r="AH64" i="32"/>
  <c r="AF64" i="32"/>
  <c r="AE64" i="32"/>
  <c r="AD64" i="32"/>
  <c r="Q64" i="32"/>
  <c r="J64" i="32"/>
  <c r="F64" i="32"/>
  <c r="AH63" i="32"/>
  <c r="AF63" i="32"/>
  <c r="AE63" i="32"/>
  <c r="AD63" i="32"/>
  <c r="Q63" i="32"/>
  <c r="J63" i="32"/>
  <c r="AH62" i="32"/>
  <c r="AF62" i="32"/>
  <c r="AE62" i="32"/>
  <c r="Q6" i="32" s="1"/>
  <c r="AD62" i="32"/>
  <c r="Q62" i="32"/>
  <c r="J62" i="32"/>
  <c r="X61" i="32"/>
  <c r="Q61" i="32"/>
  <c r="Q72" i="32" s="1"/>
  <c r="Q73" i="32" s="1"/>
  <c r="J61" i="32"/>
  <c r="X9" i="32" s="1"/>
  <c r="D56" i="14" s="1"/>
  <c r="F61" i="32"/>
  <c r="AD25" i="32" s="1"/>
  <c r="J60" i="32"/>
  <c r="J72" i="32" s="1"/>
  <c r="J73" i="32" s="1"/>
  <c r="F60" i="32"/>
  <c r="Y53" i="32"/>
  <c r="X70" i="32" s="1"/>
  <c r="Y50" i="32"/>
  <c r="X67" i="32" s="1"/>
  <c r="Y47" i="32"/>
  <c r="X64" i="32" s="1"/>
  <c r="Y46" i="32"/>
  <c r="X63" i="32" s="1"/>
  <c r="Y43" i="32"/>
  <c r="X60" i="32" s="1"/>
  <c r="AD40" i="32"/>
  <c r="AD39" i="32"/>
  <c r="AD37" i="32"/>
  <c r="AD34" i="32"/>
  <c r="AD31" i="32"/>
  <c r="AD27" i="32"/>
  <c r="X23" i="32"/>
  <c r="AD22" i="32"/>
  <c r="AD21" i="32"/>
  <c r="AD12" i="32"/>
  <c r="X7" i="32"/>
  <c r="D54" i="14" s="1"/>
  <c r="X6" i="32"/>
  <c r="D53" i="14" s="1"/>
  <c r="Q5" i="32"/>
  <c r="D5" i="14" s="1"/>
  <c r="AH66" i="23"/>
  <c r="F76" i="23" s="1"/>
  <c r="E93" i="31"/>
  <c r="X71" i="23"/>
  <c r="AD102" i="23"/>
  <c r="X23" i="23"/>
  <c r="F65" i="23"/>
  <c r="AD22" i="23" s="1"/>
  <c r="F64" i="23"/>
  <c r="F60" i="23"/>
  <c r="F67" i="23" s="1"/>
  <c r="F71" i="23"/>
  <c r="F70" i="23"/>
  <c r="F69" i="23"/>
  <c r="F68" i="23"/>
  <c r="J71" i="23"/>
  <c r="J70" i="23"/>
  <c r="J69" i="23"/>
  <c r="J68" i="23"/>
  <c r="J66" i="23"/>
  <c r="J65" i="23"/>
  <c r="X7" i="23" s="1"/>
  <c r="Q64" i="23"/>
  <c r="Q65" i="23"/>
  <c r="Q63" i="23"/>
  <c r="Q62" i="23"/>
  <c r="Q61" i="23"/>
  <c r="J64" i="23"/>
  <c r="X6" i="23" s="1"/>
  <c r="J63" i="23"/>
  <c r="J67" i="23"/>
  <c r="AE66" i="23"/>
  <c r="AE64" i="23"/>
  <c r="AE63" i="23"/>
  <c r="AE62" i="23"/>
  <c r="AD101" i="23"/>
  <c r="Q5" i="23"/>
  <c r="AD12" i="23"/>
  <c r="AF66" i="23"/>
  <c r="AD66" i="23"/>
  <c r="AH65" i="23"/>
  <c r="AH64" i="23"/>
  <c r="AH63" i="23"/>
  <c r="AH62" i="23"/>
  <c r="AG67" i="23"/>
  <c r="AF65" i="23"/>
  <c r="AF64" i="23"/>
  <c r="AF63" i="23"/>
  <c r="AF62" i="23"/>
  <c r="AE65" i="23"/>
  <c r="AD65" i="23"/>
  <c r="AD64" i="23"/>
  <c r="AD63" i="23"/>
  <c r="AD62" i="23"/>
  <c r="AE97" i="23"/>
  <c r="AE96" i="23"/>
  <c r="AE81" i="23"/>
  <c r="E91" i="31"/>
  <c r="E95" i="31" s="1"/>
  <c r="E96" i="31" s="1"/>
  <c r="AG108" i="23"/>
  <c r="AG107" i="23"/>
  <c r="C56" i="7"/>
  <c r="C58" i="7" s="1"/>
  <c r="C61" i="7" s="1"/>
  <c r="C62" i="7" s="1"/>
  <c r="C64" i="7" s="1"/>
  <c r="X68" i="23"/>
  <c r="X65" i="23"/>
  <c r="X61" i="23"/>
  <c r="AH59" i="32" l="1"/>
  <c r="C9" i="14" s="1"/>
  <c r="F62" i="32"/>
  <c r="AD24" i="32" s="1"/>
  <c r="C8" i="14"/>
  <c r="AG74" i="34"/>
  <c r="J72" i="34"/>
  <c r="J73" i="34" s="1"/>
  <c r="Q72" i="34"/>
  <c r="Q73" i="34" s="1"/>
  <c r="AE104" i="34"/>
  <c r="AE73" i="34" s="1"/>
  <c r="AI84" i="34"/>
  <c r="F66" i="34"/>
  <c r="AD26" i="34" s="1"/>
  <c r="AI87" i="34"/>
  <c r="AD87" i="34"/>
  <c r="AD72" i="34" s="1"/>
  <c r="AD92" i="34"/>
  <c r="AD71" i="34" s="1"/>
  <c r="F61" i="34"/>
  <c r="AD25" i="34" s="1"/>
  <c r="AD36" i="34"/>
  <c r="AD34" i="34"/>
  <c r="AD37" i="34"/>
  <c r="AD38" i="34"/>
  <c r="AD21" i="34"/>
  <c r="Q6" i="34"/>
  <c r="F6" i="14" s="1"/>
  <c r="AD39" i="34"/>
  <c r="AD27" i="34"/>
  <c r="X72" i="33"/>
  <c r="X73" i="33" s="1"/>
  <c r="AD92" i="33"/>
  <c r="AD71" i="33" s="1"/>
  <c r="AD30" i="33"/>
  <c r="AD36" i="33"/>
  <c r="AD37" i="33"/>
  <c r="AD38" i="33"/>
  <c r="F63" i="33"/>
  <c r="AD21" i="33"/>
  <c r="AD27" i="33"/>
  <c r="F67" i="33"/>
  <c r="X72" i="32"/>
  <c r="X73" i="32" s="1"/>
  <c r="AF87" i="32"/>
  <c r="AF72" i="32" s="1"/>
  <c r="AI87" i="32"/>
  <c r="AE84" i="32"/>
  <c r="AE70" i="32" s="1"/>
  <c r="AI92" i="32"/>
  <c r="Q7" i="32"/>
  <c r="D7" i="14" s="1"/>
  <c r="D6" i="14"/>
  <c r="AE92" i="32"/>
  <c r="AE71" i="32" s="1"/>
  <c r="AI104" i="32"/>
  <c r="F66" i="32"/>
  <c r="AD26" i="32" s="1"/>
  <c r="AF84" i="32"/>
  <c r="AF70" i="32" s="1"/>
  <c r="AE87" i="34"/>
  <c r="AE72" i="34" s="1"/>
  <c r="AH92" i="32"/>
  <c r="AH71" i="32" s="1"/>
  <c r="AH87" i="32"/>
  <c r="AH72" i="32" s="1"/>
  <c r="AF92" i="32"/>
  <c r="AF71" i="32" s="1"/>
  <c r="AE87" i="32"/>
  <c r="AE72" i="32" s="1"/>
  <c r="AH92" i="34"/>
  <c r="AH71" i="34" s="1"/>
  <c r="X72" i="34"/>
  <c r="X73" i="34" s="1"/>
  <c r="AH95" i="34"/>
  <c r="AH79" i="34"/>
  <c r="AD32" i="34"/>
  <c r="AH66" i="34"/>
  <c r="F76" i="34" s="1"/>
  <c r="AD13" i="34" s="1"/>
  <c r="AF96" i="34"/>
  <c r="AH101" i="34"/>
  <c r="AH104" i="34" s="1"/>
  <c r="AH73" i="34" s="1"/>
  <c r="AH59" i="34" s="1"/>
  <c r="AF101" i="34"/>
  <c r="AF104" i="34" s="1"/>
  <c r="AF73" i="34" s="1"/>
  <c r="F67" i="34"/>
  <c r="AD28" i="34" s="1"/>
  <c r="AF90" i="34"/>
  <c r="AH96" i="34"/>
  <c r="AF81" i="34"/>
  <c r="AF84" i="34" s="1"/>
  <c r="AF70" i="34" s="1"/>
  <c r="AF97" i="34"/>
  <c r="AD35" i="34"/>
  <c r="AE88" i="34"/>
  <c r="AE92" i="34" s="1"/>
  <c r="AE71" i="34" s="1"/>
  <c r="AH97" i="34"/>
  <c r="AH81" i="34"/>
  <c r="AF88" i="34"/>
  <c r="AH82" i="34"/>
  <c r="AF98" i="34"/>
  <c r="AF89" i="34"/>
  <c r="AF79" i="33"/>
  <c r="AF90" i="33"/>
  <c r="AF92" i="33" s="1"/>
  <c r="AF71" i="33" s="1"/>
  <c r="AF82" i="33"/>
  <c r="AF84" i="33" s="1"/>
  <c r="AF70" i="33" s="1"/>
  <c r="AD87" i="33"/>
  <c r="AD72" i="33" s="1"/>
  <c r="AE87" i="33"/>
  <c r="AE72" i="33" s="1"/>
  <c r="AH82" i="33"/>
  <c r="AF98" i="33"/>
  <c r="AF87" i="33" s="1"/>
  <c r="AF72" i="33" s="1"/>
  <c r="AD96" i="33"/>
  <c r="AH88" i="33"/>
  <c r="AH92" i="33" s="1"/>
  <c r="AH71" i="33" s="1"/>
  <c r="AH81" i="33"/>
  <c r="AH84" i="33" s="1"/>
  <c r="AH70" i="33" s="1"/>
  <c r="AF101" i="33"/>
  <c r="AE92" i="33"/>
  <c r="AE71" i="33" s="1"/>
  <c r="AH101" i="33"/>
  <c r="AF104" i="33"/>
  <c r="AF73" i="33" s="1"/>
  <c r="AF88" i="33"/>
  <c r="AH95" i="33"/>
  <c r="AH87" i="33" s="1"/>
  <c r="AH72" i="33" s="1"/>
  <c r="AE81" i="33"/>
  <c r="AE84" i="33" s="1"/>
  <c r="AE70" i="33" s="1"/>
  <c r="AH65" i="33"/>
  <c r="AH66" i="33"/>
  <c r="F76" i="33" s="1"/>
  <c r="AD13" i="33" s="1"/>
  <c r="AH102" i="33"/>
  <c r="AD39" i="33"/>
  <c r="Q6" i="33"/>
  <c r="AD31" i="33"/>
  <c r="AD32" i="33"/>
  <c r="AD33" i="33"/>
  <c r="AD34" i="33"/>
  <c r="F61" i="33"/>
  <c r="AD28" i="32"/>
  <c r="Q8" i="32"/>
  <c r="F63" i="32"/>
  <c r="AD23" i="32" s="1"/>
  <c r="AD30" i="32"/>
  <c r="AD32" i="32"/>
  <c r="AD33" i="32"/>
  <c r="AD35" i="32"/>
  <c r="AD36" i="32"/>
  <c r="AD38" i="32"/>
  <c r="F63" i="23"/>
  <c r="AD13" i="23"/>
  <c r="AD28" i="23"/>
  <c r="F62" i="23"/>
  <c r="AD29" i="23"/>
  <c r="X8" i="23"/>
  <c r="AD32" i="23"/>
  <c r="AD38" i="23"/>
  <c r="AD39" i="23"/>
  <c r="AD40" i="23"/>
  <c r="AD21" i="23"/>
  <c r="AD33" i="23"/>
  <c r="F66" i="23"/>
  <c r="AD26" i="23" s="1"/>
  <c r="AD30" i="23"/>
  <c r="AD27" i="23"/>
  <c r="AD31" i="23"/>
  <c r="Q6" i="23"/>
  <c r="F61" i="23"/>
  <c r="AD25" i="23" s="1"/>
  <c r="AG109" i="23"/>
  <c r="AG74" i="23" s="1"/>
  <c r="E98" i="31"/>
  <c r="AI102" i="23"/>
  <c r="AH102" i="23"/>
  <c r="AF102" i="23"/>
  <c r="AE102" i="23"/>
  <c r="AD104" i="23"/>
  <c r="AD73" i="23" s="1"/>
  <c r="AI101" i="23"/>
  <c r="AH101" i="23"/>
  <c r="AF101" i="23"/>
  <c r="AE101" i="23"/>
  <c r="AI79" i="23"/>
  <c r="AH79" i="23"/>
  <c r="AF79" i="23"/>
  <c r="AE79" i="23"/>
  <c r="AD79" i="23"/>
  <c r="AI98" i="23"/>
  <c r="AH98" i="23"/>
  <c r="AF98" i="23"/>
  <c r="AE98" i="23"/>
  <c r="AD98" i="23"/>
  <c r="AI97" i="23"/>
  <c r="AH97" i="23"/>
  <c r="AF97" i="23"/>
  <c r="AD97" i="23"/>
  <c r="AI96" i="23"/>
  <c r="AH96" i="23"/>
  <c r="AF96" i="23"/>
  <c r="AD96" i="23"/>
  <c r="AI95" i="23"/>
  <c r="AH95" i="23"/>
  <c r="AF95" i="23"/>
  <c r="AE95" i="23"/>
  <c r="AD95" i="23"/>
  <c r="AI90" i="23"/>
  <c r="AH90" i="23"/>
  <c r="AF90" i="23"/>
  <c r="AE90" i="23"/>
  <c r="AD90" i="23"/>
  <c r="AI89" i="23"/>
  <c r="AH89" i="23"/>
  <c r="AF89" i="23"/>
  <c r="AE89" i="23"/>
  <c r="AD89" i="23"/>
  <c r="AI88" i="23"/>
  <c r="AH88" i="23"/>
  <c r="AF88" i="23"/>
  <c r="AE88" i="23"/>
  <c r="AD88" i="23"/>
  <c r="AI82" i="23"/>
  <c r="AH82" i="23"/>
  <c r="AF82" i="23"/>
  <c r="AE82" i="23"/>
  <c r="AD82" i="23"/>
  <c r="AI81" i="23"/>
  <c r="AH81" i="23"/>
  <c r="AF81" i="23"/>
  <c r="AD81" i="23"/>
  <c r="F75" i="23"/>
  <c r="AD37" i="23" s="1"/>
  <c r="F74" i="23"/>
  <c r="AD36" i="23" s="1"/>
  <c r="F73" i="23"/>
  <c r="AD35" i="23" s="1"/>
  <c r="F72" i="23"/>
  <c r="AD34" i="23" s="1"/>
  <c r="J62" i="23"/>
  <c r="J61" i="23"/>
  <c r="J60" i="23"/>
  <c r="Y53" i="23"/>
  <c r="X70" i="23" s="1"/>
  <c r="Y50" i="23"/>
  <c r="X67" i="23" s="1"/>
  <c r="Y47" i="23"/>
  <c r="X64" i="23" s="1"/>
  <c r="Y46" i="23"/>
  <c r="X63" i="23" s="1"/>
  <c r="Y43" i="23"/>
  <c r="X60" i="23" s="1"/>
  <c r="E20" i="8"/>
  <c r="Q11" i="32" l="1"/>
  <c r="D10" i="14" s="1"/>
  <c r="AD23" i="23"/>
  <c r="AF87" i="34"/>
  <c r="AF72" i="34" s="1"/>
  <c r="Q7" i="34"/>
  <c r="F7" i="14" s="1"/>
  <c r="Q7" i="33"/>
  <c r="E7" i="14" s="1"/>
  <c r="E6" i="14"/>
  <c r="F62" i="33"/>
  <c r="AD23" i="33" s="1"/>
  <c r="AD28" i="33"/>
  <c r="AD29" i="33"/>
  <c r="Q9" i="32"/>
  <c r="D9" i="14" s="1"/>
  <c r="D8" i="14"/>
  <c r="AD29" i="34"/>
  <c r="Q8" i="34"/>
  <c r="F62" i="34"/>
  <c r="AF92" i="34"/>
  <c r="AF71" i="34" s="1"/>
  <c r="AH84" i="34"/>
  <c r="AH70" i="34" s="1"/>
  <c r="AH87" i="34"/>
  <c r="AH72" i="34" s="1"/>
  <c r="AH104" i="33"/>
  <c r="AH73" i="33" s="1"/>
  <c r="AH59" i="33" s="1"/>
  <c r="AD25" i="33"/>
  <c r="Q8" i="33"/>
  <c r="Q8" i="23"/>
  <c r="X9" i="23"/>
  <c r="AD24" i="23"/>
  <c r="AF104" i="23"/>
  <c r="AF73" i="23" s="1"/>
  <c r="X72" i="23"/>
  <c r="X73" i="23" s="1"/>
  <c r="AH104" i="23"/>
  <c r="AH73" i="23" s="1"/>
  <c r="AH59" i="23" s="1"/>
  <c r="AI104" i="23"/>
  <c r="AF84" i="23"/>
  <c r="AF70" i="23" s="1"/>
  <c r="AH84" i="23"/>
  <c r="AH70" i="23" s="1"/>
  <c r="AE104" i="23"/>
  <c r="AE73" i="23" s="1"/>
  <c r="AD92" i="23"/>
  <c r="AD71" i="23" s="1"/>
  <c r="AI84" i="23"/>
  <c r="AE84" i="23"/>
  <c r="AE70" i="23" s="1"/>
  <c r="AF92" i="23"/>
  <c r="AF71" i="23" s="1"/>
  <c r="AI87" i="23"/>
  <c r="AF87" i="23"/>
  <c r="AF72" i="23" s="1"/>
  <c r="AH87" i="23"/>
  <c r="AH72" i="23" s="1"/>
  <c r="AE87" i="23"/>
  <c r="AE72" i="23" s="1"/>
  <c r="AD87" i="23"/>
  <c r="AD72" i="23" s="1"/>
  <c r="J72" i="23"/>
  <c r="J73" i="23" s="1"/>
  <c r="Q72" i="23"/>
  <c r="Q73" i="23" s="1"/>
  <c r="Q7" i="23" s="1"/>
  <c r="AE92" i="23"/>
  <c r="AE71" i="23" s="1"/>
  <c r="AD84" i="23"/>
  <c r="AD70" i="23" s="1"/>
  <c r="AH92" i="23"/>
  <c r="AH71" i="23" s="1"/>
  <c r="AI92" i="23"/>
  <c r="E23" i="8"/>
  <c r="E21" i="8"/>
  <c r="E92" i="8"/>
  <c r="Q11" i="23" l="1"/>
  <c r="Q9" i="34"/>
  <c r="F9" i="14" s="1"/>
  <c r="F8" i="14"/>
  <c r="Q9" i="33"/>
  <c r="E9" i="14" s="1"/>
  <c r="E8" i="14"/>
  <c r="AD24" i="33"/>
  <c r="Q11" i="33" s="1"/>
  <c r="E10" i="14" s="1"/>
  <c r="AD23" i="34"/>
  <c r="AD24" i="34"/>
  <c r="Q9" i="23"/>
  <c r="E7" i="8"/>
  <c r="Q11" i="34" l="1"/>
  <c r="F10" i="14" s="1"/>
  <c r="E31" i="8"/>
  <c r="E30" i="8"/>
  <c r="E29" i="8"/>
  <c r="E28" i="8"/>
  <c r="E27" i="8"/>
  <c r="E26" i="8"/>
  <c r="E22" i="8"/>
  <c r="E19" i="8"/>
  <c r="E18" i="8"/>
  <c r="E14" i="8"/>
  <c r="E13" i="8"/>
  <c r="E12" i="8"/>
  <c r="E11" i="8"/>
  <c r="E10" i="8"/>
  <c r="E9" i="8"/>
  <c r="E51" i="8"/>
  <c r="E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祥樹</author>
  </authors>
  <commentList>
    <comment ref="F60" authorId="0" shapeId="0" xr:uid="{9107F108-BEC2-405C-BC6B-1EE0BEE48B02}">
      <text>
        <r>
          <rPr>
            <b/>
            <sz val="9"/>
            <color indexed="81"/>
            <rFont val="MS P ゴシック"/>
            <family val="3"/>
            <charset val="128"/>
          </rPr>
          <t>1 単独
2 接続
3 経営統合
4 分散型
5
6
7</t>
        </r>
      </text>
    </comment>
    <comment ref="F61" authorId="0" shapeId="0" xr:uid="{F311A09E-AAF6-4FDD-9499-433B586ECA19}">
      <text>
        <r>
          <rPr>
            <b/>
            <sz val="9"/>
            <color indexed="81"/>
            <rFont val="MS P ゴシック"/>
            <family val="3"/>
            <charset val="128"/>
          </rPr>
          <t>1　行政→行政
2　行政→地域
3　地域→行政
4　地域→地域</t>
        </r>
        <r>
          <rPr>
            <sz val="9"/>
            <color indexed="81"/>
            <rFont val="MS P ゴシック"/>
            <family val="3"/>
            <charset val="128"/>
          </rPr>
          <t xml:space="preserve">
</t>
        </r>
      </text>
    </comment>
    <comment ref="F62" authorId="0" shapeId="0" xr:uid="{8D4707AD-D43F-4C31-8490-6B54DC9A4A50}">
      <text>
        <r>
          <rPr>
            <b/>
            <sz val="9"/>
            <color indexed="81"/>
            <rFont val="MS P ゴシック"/>
            <family val="3"/>
            <charset val="128"/>
          </rPr>
          <t>1　行政→行政
2　行政→地域
3　地域→行政
4　地域→地域</t>
        </r>
      </text>
    </comment>
    <comment ref="F63" authorId="0" shapeId="0" xr:uid="{DC6D5AB3-9A12-4746-9186-40083836F38F}">
      <text>
        <r>
          <rPr>
            <sz val="9"/>
            <color indexed="81"/>
            <rFont val="MS P ゴシック"/>
            <family val="3"/>
            <charset val="128"/>
          </rPr>
          <t xml:space="preserve">自治体管理の水道へ
1　ハード統合
2　ソフト統合
</t>
        </r>
      </text>
    </comment>
    <comment ref="F67" authorId="0" shapeId="0" xr:uid="{D9820637-9F80-4926-BAB2-C83D92A878DD}">
      <text>
        <r>
          <rPr>
            <b/>
            <sz val="9"/>
            <color indexed="81"/>
            <rFont val="MS P ゴシック"/>
            <family val="3"/>
            <charset val="128"/>
          </rPr>
          <t>1:事業統合
2:接続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祥樹</author>
  </authors>
  <commentList>
    <comment ref="F60" authorId="0" shapeId="0" xr:uid="{ADD84722-57E6-4AB7-98A1-890424101BFD}">
      <text>
        <r>
          <rPr>
            <b/>
            <sz val="9"/>
            <color indexed="81"/>
            <rFont val="MS P ゴシック"/>
            <family val="3"/>
            <charset val="128"/>
          </rPr>
          <t>1 単独
2 接続
3 経営統合
4 分散型
5
6
7</t>
        </r>
      </text>
    </comment>
    <comment ref="F61" authorId="0" shapeId="0" xr:uid="{BFB4225E-63BB-4005-926B-CADDC6F95431}">
      <text>
        <r>
          <rPr>
            <b/>
            <sz val="9"/>
            <color indexed="81"/>
            <rFont val="MS P ゴシック"/>
            <family val="3"/>
            <charset val="128"/>
          </rPr>
          <t>1　行政→行政
2　行政→地域
3　地域→行政
4　地域→地域</t>
        </r>
        <r>
          <rPr>
            <sz val="9"/>
            <color indexed="81"/>
            <rFont val="MS P ゴシック"/>
            <family val="3"/>
            <charset val="128"/>
          </rPr>
          <t xml:space="preserve">
</t>
        </r>
      </text>
    </comment>
    <comment ref="F62" authorId="0" shapeId="0" xr:uid="{7CE93B28-EE9B-4D92-B672-A7641004F301}">
      <text>
        <r>
          <rPr>
            <b/>
            <sz val="9"/>
            <color indexed="81"/>
            <rFont val="MS P ゴシック"/>
            <family val="3"/>
            <charset val="128"/>
          </rPr>
          <t>1　行政→行政
2　行政→地域
3　地域→行政
4　地域→地域</t>
        </r>
      </text>
    </comment>
    <comment ref="F63" authorId="0" shapeId="0" xr:uid="{63BA55F3-5A8C-4CB6-91D3-56684463EAB8}">
      <text>
        <r>
          <rPr>
            <sz val="9"/>
            <color indexed="81"/>
            <rFont val="MS P ゴシック"/>
            <family val="3"/>
            <charset val="128"/>
          </rPr>
          <t xml:space="preserve">自治体管理の水道へ
1　ハード統合
2　ソフト統合
</t>
        </r>
      </text>
    </comment>
    <comment ref="F67" authorId="0" shapeId="0" xr:uid="{AC6DA08C-719A-42AF-920F-9FAD0162B023}">
      <text>
        <r>
          <rPr>
            <b/>
            <sz val="9"/>
            <color indexed="81"/>
            <rFont val="MS P ゴシック"/>
            <family val="3"/>
            <charset val="128"/>
          </rPr>
          <t>1:事業統合
2:接続</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長谷川　祥樹</author>
  </authors>
  <commentList>
    <comment ref="F60" authorId="0" shapeId="0" xr:uid="{CE4ED71B-EE1A-4F9A-B41D-C490D8D3CE5E}">
      <text>
        <r>
          <rPr>
            <b/>
            <sz val="9"/>
            <color indexed="81"/>
            <rFont val="MS P ゴシック"/>
            <family val="3"/>
            <charset val="128"/>
          </rPr>
          <t>1 単独
2 接続
3 経営統合
4 分散型
5
6
7</t>
        </r>
      </text>
    </comment>
    <comment ref="F61" authorId="0" shapeId="0" xr:uid="{80F391FF-CE0D-4305-A9DC-58674515C78D}">
      <text>
        <r>
          <rPr>
            <b/>
            <sz val="9"/>
            <color indexed="81"/>
            <rFont val="MS P ゴシック"/>
            <family val="3"/>
            <charset val="128"/>
          </rPr>
          <t>1　行政→行政
2　行政→地域
3　地域→行政
4　地域→地域</t>
        </r>
        <r>
          <rPr>
            <sz val="9"/>
            <color indexed="81"/>
            <rFont val="MS P ゴシック"/>
            <family val="3"/>
            <charset val="128"/>
          </rPr>
          <t xml:space="preserve">
</t>
        </r>
      </text>
    </comment>
    <comment ref="F62" authorId="0" shapeId="0" xr:uid="{0288BFD0-85F6-4A06-9A10-18C2548E36A2}">
      <text>
        <r>
          <rPr>
            <b/>
            <sz val="9"/>
            <color indexed="81"/>
            <rFont val="MS P ゴシック"/>
            <family val="3"/>
            <charset val="128"/>
          </rPr>
          <t>1　行政→行政
2　行政→地域
3　地域→行政
4　地域→地域</t>
        </r>
      </text>
    </comment>
    <comment ref="F63" authorId="0" shapeId="0" xr:uid="{29529643-6CCF-4A40-81F7-37EA9EB4B175}">
      <text>
        <r>
          <rPr>
            <sz val="9"/>
            <color indexed="81"/>
            <rFont val="MS P ゴシック"/>
            <family val="3"/>
            <charset val="128"/>
          </rPr>
          <t xml:space="preserve">自治体管理の水道へ
1　ハード統合
2　ソフト統合
</t>
        </r>
      </text>
    </comment>
    <comment ref="F67" authorId="0" shapeId="0" xr:uid="{985F1858-155D-41B4-82F9-B9351E4641B7}">
      <text>
        <r>
          <rPr>
            <b/>
            <sz val="9"/>
            <color indexed="81"/>
            <rFont val="MS P ゴシック"/>
            <family val="3"/>
            <charset val="128"/>
          </rPr>
          <t>1:事業統合
2:接続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長谷川　祥樹</author>
  </authors>
  <commentList>
    <comment ref="F60" authorId="0" shapeId="0" xr:uid="{C5D4D14F-D046-49EE-BEFF-6D528AF40EAB}">
      <text>
        <r>
          <rPr>
            <b/>
            <sz val="9"/>
            <color indexed="81"/>
            <rFont val="MS P ゴシック"/>
            <family val="3"/>
            <charset val="128"/>
          </rPr>
          <t>1 単独
2 接続
3 経営統合
4 分散型
5
6
7</t>
        </r>
      </text>
    </comment>
    <comment ref="F61" authorId="0" shapeId="0" xr:uid="{615DCB7C-2678-41AF-985A-6A234F23DBCD}">
      <text>
        <r>
          <rPr>
            <b/>
            <sz val="9"/>
            <color indexed="81"/>
            <rFont val="MS P ゴシック"/>
            <family val="3"/>
            <charset val="128"/>
          </rPr>
          <t>1　行政→行政
2　行政→地域
3　地域→行政
4　地域→地域</t>
        </r>
        <r>
          <rPr>
            <sz val="9"/>
            <color indexed="81"/>
            <rFont val="MS P ゴシック"/>
            <family val="3"/>
            <charset val="128"/>
          </rPr>
          <t xml:space="preserve">
</t>
        </r>
      </text>
    </comment>
    <comment ref="F62" authorId="0" shapeId="0" xr:uid="{CCDB313F-6A36-4553-9E50-7CE5FE146049}">
      <text>
        <r>
          <rPr>
            <b/>
            <sz val="9"/>
            <color indexed="81"/>
            <rFont val="MS P ゴシック"/>
            <family val="3"/>
            <charset val="128"/>
          </rPr>
          <t>1　行政→行政
2　行政→地域
3　地域→行政
4　地域→地域</t>
        </r>
      </text>
    </comment>
    <comment ref="F63" authorId="0" shapeId="0" xr:uid="{961FF3F6-8CEF-4F49-A572-5241B71B34FF}">
      <text>
        <r>
          <rPr>
            <sz val="9"/>
            <color indexed="81"/>
            <rFont val="MS P ゴシック"/>
            <family val="3"/>
            <charset val="128"/>
          </rPr>
          <t xml:space="preserve">自治体管理の水道へ
1　ハード統合
2　ソフト統合
</t>
        </r>
      </text>
    </comment>
    <comment ref="F67" authorId="0" shapeId="0" xr:uid="{1FF4FED9-89AD-49BE-8841-7650AF84A5BE}">
      <text>
        <r>
          <rPr>
            <b/>
            <sz val="9"/>
            <color indexed="81"/>
            <rFont val="MS P ゴシック"/>
            <family val="3"/>
            <charset val="128"/>
          </rPr>
          <t>1:事業統合
2:接続</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長谷川　祥樹</author>
  </authors>
  <commentList>
    <comment ref="A3" authorId="0" shapeId="0" xr:uid="{EFDECBE2-BD2F-4F73-A4D1-6762BCE14716}">
      <text>
        <r>
          <rPr>
            <b/>
            <sz val="9"/>
            <color indexed="81"/>
            <rFont val="MS P ゴシック"/>
            <family val="3"/>
            <charset val="128"/>
          </rPr>
          <t>現行バージョンの行にに〇を記入</t>
        </r>
        <r>
          <rPr>
            <sz val="9"/>
            <color indexed="81"/>
            <rFont val="MS P ゴシック"/>
            <family val="3"/>
            <charset val="128"/>
          </rPr>
          <t xml:space="preserve">
</t>
        </r>
      </text>
    </comment>
  </commentList>
</comments>
</file>

<file path=xl/sharedStrings.xml><?xml version="1.0" encoding="utf-8"?>
<sst xmlns="http://schemas.openxmlformats.org/spreadsheetml/2006/main" count="2153" uniqueCount="651">
  <si>
    <t>運営コスト試算</t>
    <rPh sb="0" eb="2">
      <t>ウンエイ</t>
    </rPh>
    <rPh sb="5" eb="7">
      <t>シサン</t>
    </rPh>
    <phoneticPr fontId="1"/>
  </si>
  <si>
    <t>選択肢</t>
    <rPh sb="0" eb="3">
      <t>センタクシ</t>
    </rPh>
    <phoneticPr fontId="1"/>
  </si>
  <si>
    <t>計算方法</t>
    <rPh sb="0" eb="2">
      <t>ケイサン</t>
    </rPh>
    <rPh sb="2" eb="4">
      <t>ホウホウ</t>
    </rPh>
    <phoneticPr fontId="1"/>
  </si>
  <si>
    <t>計算式</t>
    <rPh sb="0" eb="3">
      <t>ケイサンシキ</t>
    </rPh>
    <phoneticPr fontId="1"/>
  </si>
  <si>
    <t>パラメータ</t>
    <phoneticPr fontId="1"/>
  </si>
  <si>
    <t>補正要素</t>
    <rPh sb="0" eb="2">
      <t>ホセイ</t>
    </rPh>
    <rPh sb="2" eb="4">
      <t>ヨウソ</t>
    </rPh>
    <phoneticPr fontId="1"/>
  </si>
  <si>
    <t>　役職謝金</t>
    <rPh sb="1" eb="3">
      <t>ヤクショク</t>
    </rPh>
    <rPh sb="3" eb="5">
      <t>シャキン</t>
    </rPh>
    <phoneticPr fontId="1"/>
  </si>
  <si>
    <t>　水質検査代</t>
    <rPh sb="1" eb="3">
      <t>スイシツ</t>
    </rPh>
    <rPh sb="3" eb="5">
      <t>ケンサ</t>
    </rPh>
    <rPh sb="5" eb="6">
      <t>ダイ</t>
    </rPh>
    <phoneticPr fontId="1"/>
  </si>
  <si>
    <t>組合管理（組合所有または自治体所有）</t>
    <rPh sb="0" eb="2">
      <t>クミアイ</t>
    </rPh>
    <rPh sb="2" eb="4">
      <t>カンリ</t>
    </rPh>
    <rPh sb="5" eb="7">
      <t>クミアイ</t>
    </rPh>
    <rPh sb="7" eb="9">
      <t>ショユウ</t>
    </rPh>
    <rPh sb="12" eb="15">
      <t>ジチタイ</t>
    </rPh>
    <rPh sb="15" eb="17">
      <t>ショユウ</t>
    </rPh>
    <phoneticPr fontId="1"/>
  </si>
  <si>
    <t>自治体管理（簡水）に経営統合</t>
    <rPh sb="0" eb="3">
      <t>ジチタイ</t>
    </rPh>
    <rPh sb="3" eb="5">
      <t>カンリ</t>
    </rPh>
    <rPh sb="6" eb="8">
      <t>カンスイ</t>
    </rPh>
    <rPh sb="10" eb="12">
      <t>ケイエイ</t>
    </rPh>
    <rPh sb="12" eb="14">
      <t>トウゴウ</t>
    </rPh>
    <phoneticPr fontId="1"/>
  </si>
  <si>
    <t>浄水場設置数</t>
  </si>
  <si>
    <t>average</t>
    <phoneticPr fontId="1"/>
  </si>
  <si>
    <t>stdevp</t>
    <phoneticPr fontId="1"/>
  </si>
  <si>
    <t>簡易水道</t>
    <rPh sb="0" eb="2">
      <t>カンイ</t>
    </rPh>
    <rPh sb="2" eb="4">
      <t>スイドウ</t>
    </rPh>
    <phoneticPr fontId="1"/>
  </si>
  <si>
    <t>地域自律管理型</t>
    <rPh sb="0" eb="2">
      <t>チイキ</t>
    </rPh>
    <rPh sb="2" eb="4">
      <t>ジリツ</t>
    </rPh>
    <rPh sb="4" eb="7">
      <t>カンリガタ</t>
    </rPh>
    <phoneticPr fontId="1"/>
  </si>
  <si>
    <t>係数</t>
    <rPh sb="0" eb="2">
      <t>ケイスウ</t>
    </rPh>
    <phoneticPr fontId="1"/>
  </si>
  <si>
    <t>急</t>
  </si>
  <si>
    <t>現在給水人口</t>
  </si>
  <si>
    <t>受</t>
  </si>
  <si>
    <t>膜</t>
  </si>
  <si>
    <t>法制度上の種別：その他</t>
    <rPh sb="0" eb="3">
      <t>ホウセイド</t>
    </rPh>
    <rPh sb="3" eb="4">
      <t>ジョウ</t>
    </rPh>
    <rPh sb="5" eb="7">
      <t>シュベツ</t>
    </rPh>
    <rPh sb="10" eb="11">
      <t>タ</t>
    </rPh>
    <phoneticPr fontId="1"/>
  </si>
  <si>
    <t>配水能力</t>
    <rPh sb="0" eb="2">
      <t>ハイスイ</t>
    </rPh>
    <rPh sb="2" eb="4">
      <t>ノウリョク</t>
    </rPh>
    <phoneticPr fontId="1"/>
  </si>
  <si>
    <t>自治体管理（上水・計画2万人未満）に経営統合</t>
    <rPh sb="0" eb="3">
      <t>ジチタイ</t>
    </rPh>
    <rPh sb="3" eb="5">
      <t>カンリ</t>
    </rPh>
    <rPh sb="6" eb="8">
      <t>ジョウスイ</t>
    </rPh>
    <rPh sb="9" eb="11">
      <t>ケイカク</t>
    </rPh>
    <rPh sb="12" eb="14">
      <t>マンニン</t>
    </rPh>
    <rPh sb="14" eb="16">
      <t>ミマン</t>
    </rPh>
    <rPh sb="18" eb="20">
      <t>ケイエイ</t>
    </rPh>
    <rPh sb="20" eb="22">
      <t>トウゴウ</t>
    </rPh>
    <phoneticPr fontId="1"/>
  </si>
  <si>
    <t>自治体管理（上水・計画2万人以上）に経営統合</t>
    <rPh sb="0" eb="3">
      <t>ジチタイ</t>
    </rPh>
    <rPh sb="3" eb="5">
      <t>カンリ</t>
    </rPh>
    <rPh sb="6" eb="8">
      <t>ジョウスイ</t>
    </rPh>
    <rPh sb="9" eb="11">
      <t>ケイカク</t>
    </rPh>
    <rPh sb="12" eb="14">
      <t>マンニン</t>
    </rPh>
    <rPh sb="14" eb="16">
      <t>イジョウ</t>
    </rPh>
    <rPh sb="18" eb="20">
      <t>ケイエイ</t>
    </rPh>
    <rPh sb="20" eb="22">
      <t>トウゴウ</t>
    </rPh>
    <phoneticPr fontId="1"/>
  </si>
  <si>
    <t>重回帰モデル（作成済・R2=0.304）</t>
    <rPh sb="0" eb="3">
      <t>ジュウカイキ</t>
    </rPh>
    <rPh sb="7" eb="9">
      <t>サクセイ</t>
    </rPh>
    <rPh sb="9" eb="10">
      <t>ズ</t>
    </rPh>
    <phoneticPr fontId="1"/>
  </si>
  <si>
    <t>重回帰モデル（作成済・R2=0.477）</t>
    <rPh sb="0" eb="3">
      <t>ジュウカイキ</t>
    </rPh>
    <rPh sb="7" eb="9">
      <t>サクセイ</t>
    </rPh>
    <rPh sb="9" eb="10">
      <t>ズ</t>
    </rPh>
    <phoneticPr fontId="1"/>
  </si>
  <si>
    <t>受・急・膜・現在給水人口・浄水場設置数</t>
    <rPh sb="0" eb="1">
      <t>ジュ</t>
    </rPh>
    <rPh sb="2" eb="3">
      <t>キュウ</t>
    </rPh>
    <rPh sb="4" eb="5">
      <t>マク</t>
    </rPh>
    <rPh sb="6" eb="8">
      <t>ゲンザイ</t>
    </rPh>
    <rPh sb="8" eb="10">
      <t>キュウスイ</t>
    </rPh>
    <rPh sb="10" eb="12">
      <t>ジンコウ</t>
    </rPh>
    <rPh sb="13" eb="16">
      <t>ジョウスイジョウ</t>
    </rPh>
    <rPh sb="16" eb="19">
      <t>セッチスウ</t>
    </rPh>
    <phoneticPr fontId="1"/>
  </si>
  <si>
    <t>重回帰モデル（作成済・R2=0.869）</t>
    <rPh sb="0" eb="3">
      <t>ジュウカイキ</t>
    </rPh>
    <rPh sb="7" eb="9">
      <t>サクセイ</t>
    </rPh>
    <rPh sb="9" eb="10">
      <t>ズ</t>
    </rPh>
    <phoneticPr fontId="1"/>
  </si>
  <si>
    <t>膜・現在給水人口</t>
    <rPh sb="0" eb="1">
      <t>マク</t>
    </rPh>
    <rPh sb="2" eb="4">
      <t>ゲンザイ</t>
    </rPh>
    <rPh sb="4" eb="6">
      <t>キュウスイ</t>
    </rPh>
    <rPh sb="6" eb="8">
      <t>ジンコウ</t>
    </rPh>
    <phoneticPr fontId="1"/>
  </si>
  <si>
    <t>重回帰モデル（作成済・R2=0.491）</t>
    <rPh sb="0" eb="3">
      <t>ジュウカイキ</t>
    </rPh>
    <rPh sb="7" eb="9">
      <t>サクセイ</t>
    </rPh>
    <rPh sb="9" eb="10">
      <t>ズ</t>
    </rPh>
    <phoneticPr fontId="1"/>
  </si>
  <si>
    <t>受・膜・現在給水人口</t>
    <rPh sb="0" eb="1">
      <t>ジュ</t>
    </rPh>
    <rPh sb="2" eb="3">
      <t>マク</t>
    </rPh>
    <rPh sb="4" eb="6">
      <t>ゲンザイ</t>
    </rPh>
    <rPh sb="6" eb="8">
      <t>キュウスイ</t>
    </rPh>
    <rPh sb="8" eb="10">
      <t>ジンコウ</t>
    </rPh>
    <phoneticPr fontId="1"/>
  </si>
  <si>
    <t>※上水道をまとめるとR2=0.862の単回帰モデルはできるが・・・</t>
    <rPh sb="1" eb="4">
      <t>ジョウスイドウ</t>
    </rPh>
    <rPh sb="19" eb="22">
      <t>タンカイキ</t>
    </rPh>
    <phoneticPr fontId="1"/>
  </si>
  <si>
    <t>※上水道は札幌市を除く</t>
    <rPh sb="1" eb="4">
      <t>ジョウスイドウ</t>
    </rPh>
    <rPh sb="5" eb="8">
      <t>サッポロシ</t>
    </rPh>
    <rPh sb="9" eb="10">
      <t>ノゾ</t>
    </rPh>
    <phoneticPr fontId="1"/>
  </si>
  <si>
    <t>配水能力・法制度上の種別(その他)</t>
    <rPh sb="0" eb="2">
      <t>ハイスイ</t>
    </rPh>
    <rPh sb="2" eb="4">
      <t>ノウリョク</t>
    </rPh>
    <rPh sb="5" eb="8">
      <t>ホウセイド</t>
    </rPh>
    <rPh sb="8" eb="9">
      <t>ジョウ</t>
    </rPh>
    <rPh sb="10" eb="12">
      <t>シュベツ</t>
    </rPh>
    <rPh sb="15" eb="16">
      <t>タ</t>
    </rPh>
    <phoneticPr fontId="1"/>
  </si>
  <si>
    <t>現在給水人口</t>
    <rPh sb="0" eb="2">
      <t>ゲンザイ</t>
    </rPh>
    <rPh sb="2" eb="4">
      <t>キュウスイ</t>
    </rPh>
    <rPh sb="4" eb="6">
      <t>ジンコウ</t>
    </rPh>
    <phoneticPr fontId="1"/>
  </si>
  <si>
    <t>水源（受水）</t>
    <rPh sb="0" eb="2">
      <t>スイゲン</t>
    </rPh>
    <rPh sb="3" eb="5">
      <t>ジュスイ</t>
    </rPh>
    <phoneticPr fontId="1"/>
  </si>
  <si>
    <t>処理方法（膜）</t>
    <rPh sb="0" eb="2">
      <t>ショリ</t>
    </rPh>
    <rPh sb="2" eb="4">
      <t>ホウホウ</t>
    </rPh>
    <rPh sb="5" eb="6">
      <t>マク</t>
    </rPh>
    <phoneticPr fontId="1"/>
  </si>
  <si>
    <t>処理方法(膜)</t>
    <rPh sb="0" eb="2">
      <t>ショリ</t>
    </rPh>
    <rPh sb="2" eb="4">
      <t>ホウホウ</t>
    </rPh>
    <rPh sb="5" eb="6">
      <t>マク</t>
    </rPh>
    <phoneticPr fontId="1"/>
  </si>
  <si>
    <t>膜</t>
    <rPh sb="0" eb="1">
      <t>マク</t>
    </rPh>
    <phoneticPr fontId="1"/>
  </si>
  <si>
    <t>受</t>
    <rPh sb="0" eb="1">
      <t>ウケ</t>
    </rPh>
    <phoneticPr fontId="1"/>
  </si>
  <si>
    <t>(1)水道種別</t>
    <rPh sb="3" eb="5">
      <t>スイドウ</t>
    </rPh>
    <rPh sb="5" eb="7">
      <t>シュベツ</t>
    </rPh>
    <phoneticPr fontId="1"/>
  </si>
  <si>
    <t>上水道</t>
    <rPh sb="0" eb="3">
      <t>ジョウスイドウ</t>
    </rPh>
    <phoneticPr fontId="1"/>
  </si>
  <si>
    <t>専用水道</t>
    <rPh sb="0" eb="2">
      <t>センヨウ</t>
    </rPh>
    <rPh sb="2" eb="4">
      <t>スイドウ</t>
    </rPh>
    <phoneticPr fontId="1"/>
  </si>
  <si>
    <t>飲料水供給施設</t>
    <rPh sb="0" eb="3">
      <t>インリョウスイ</t>
    </rPh>
    <rPh sb="3" eb="5">
      <t>キョウキュウ</t>
    </rPh>
    <rPh sb="5" eb="7">
      <t>シセツ</t>
    </rPh>
    <phoneticPr fontId="1"/>
  </si>
  <si>
    <t>その他</t>
    <rPh sb="2" eb="3">
      <t>タ</t>
    </rPh>
    <phoneticPr fontId="1"/>
  </si>
  <si>
    <t>(5)維持管理主体</t>
    <rPh sb="3" eb="5">
      <t>イジ</t>
    </rPh>
    <rPh sb="5" eb="7">
      <t>カンリ</t>
    </rPh>
    <rPh sb="7" eb="9">
      <t>シュタイ</t>
    </rPh>
    <phoneticPr fontId="1"/>
  </si>
  <si>
    <t>受水</t>
    <rPh sb="0" eb="2">
      <t>ジュスイ</t>
    </rPh>
    <phoneticPr fontId="1"/>
  </si>
  <si>
    <t>(1)水源1</t>
    <rPh sb="3" eb="5">
      <t>スイゲン</t>
    </rPh>
    <phoneticPr fontId="1"/>
  </si>
  <si>
    <t>表流水</t>
    <rPh sb="0" eb="3">
      <t>ヒョウリュウスイ</t>
    </rPh>
    <phoneticPr fontId="1"/>
  </si>
  <si>
    <t>表</t>
    <rPh sb="0" eb="1">
      <t>ヒョウ</t>
    </rPh>
    <phoneticPr fontId="1"/>
  </si>
  <si>
    <t>伏流水</t>
    <rPh sb="0" eb="3">
      <t>フクリュウスイ</t>
    </rPh>
    <phoneticPr fontId="1"/>
  </si>
  <si>
    <t>浄水方法</t>
    <rPh sb="0" eb="2">
      <t>ジョウスイ</t>
    </rPh>
    <rPh sb="2" eb="4">
      <t>ホウホウ</t>
    </rPh>
    <phoneticPr fontId="1"/>
  </si>
  <si>
    <t>消毒のみ</t>
    <rPh sb="0" eb="2">
      <t>ショウドク</t>
    </rPh>
    <phoneticPr fontId="1"/>
  </si>
  <si>
    <t>緩速ろ過</t>
    <rPh sb="0" eb="2">
      <t>カンソク</t>
    </rPh>
    <rPh sb="3" eb="4">
      <t>カ</t>
    </rPh>
    <phoneticPr fontId="1"/>
  </si>
  <si>
    <t>急速ろ過</t>
    <rPh sb="0" eb="2">
      <t>キュウソク</t>
    </rPh>
    <rPh sb="3" eb="4">
      <t>カ</t>
    </rPh>
    <phoneticPr fontId="1"/>
  </si>
  <si>
    <t>膜ろ過</t>
    <rPh sb="0" eb="1">
      <t>マク</t>
    </rPh>
    <rPh sb="2" eb="3">
      <t>カ</t>
    </rPh>
    <phoneticPr fontId="1"/>
  </si>
  <si>
    <t>湖沼水</t>
    <rPh sb="0" eb="2">
      <t>コショウ</t>
    </rPh>
    <rPh sb="2" eb="3">
      <t>スイ</t>
    </rPh>
    <phoneticPr fontId="1"/>
  </si>
  <si>
    <t>湧水</t>
    <rPh sb="0" eb="2">
      <t>ユウスイ</t>
    </rPh>
    <phoneticPr fontId="1"/>
  </si>
  <si>
    <t>湖</t>
    <rPh sb="0" eb="1">
      <t>コ</t>
    </rPh>
    <phoneticPr fontId="1"/>
  </si>
  <si>
    <t>伏</t>
    <rPh sb="0" eb="1">
      <t>フク</t>
    </rPh>
    <phoneticPr fontId="1"/>
  </si>
  <si>
    <t>深</t>
    <rPh sb="0" eb="1">
      <t>フカ</t>
    </rPh>
    <phoneticPr fontId="1"/>
  </si>
  <si>
    <t>浅</t>
    <rPh sb="0" eb="1">
      <t>アサ</t>
    </rPh>
    <phoneticPr fontId="1"/>
  </si>
  <si>
    <t>湧</t>
    <rPh sb="0" eb="1">
      <t>ワ</t>
    </rPh>
    <phoneticPr fontId="1"/>
  </si>
  <si>
    <t>緩</t>
    <rPh sb="0" eb="1">
      <t>カン</t>
    </rPh>
    <phoneticPr fontId="1"/>
  </si>
  <si>
    <t>急</t>
    <rPh sb="0" eb="1">
      <t>キュウ</t>
    </rPh>
    <phoneticPr fontId="1"/>
  </si>
  <si>
    <t>消</t>
    <rPh sb="0" eb="1">
      <t>ショウ</t>
    </rPh>
    <phoneticPr fontId="1"/>
  </si>
  <si>
    <t>2．再編シナリオ</t>
    <rPh sb="2" eb="4">
      <t>サイヘン</t>
    </rPh>
    <phoneticPr fontId="1"/>
  </si>
  <si>
    <t>　水道種別</t>
    <rPh sb="1" eb="3">
      <t>スイドウ</t>
    </rPh>
    <rPh sb="3" eb="5">
      <t>シュベツ</t>
    </rPh>
    <phoneticPr fontId="1"/>
  </si>
  <si>
    <t>　計画給水人口</t>
    <rPh sb="1" eb="3">
      <t>ケイカク</t>
    </rPh>
    <rPh sb="3" eb="5">
      <t>キュウスイ</t>
    </rPh>
    <rPh sb="5" eb="7">
      <t>ジンコウ</t>
    </rPh>
    <phoneticPr fontId="1"/>
  </si>
  <si>
    <t>　現在給水人口</t>
    <rPh sb="1" eb="3">
      <t>ゲンザイ</t>
    </rPh>
    <rPh sb="3" eb="5">
      <t>キュウスイ</t>
    </rPh>
    <rPh sb="5" eb="7">
      <t>ジンコウ</t>
    </rPh>
    <phoneticPr fontId="1"/>
  </si>
  <si>
    <t>　配水能力</t>
    <rPh sb="1" eb="3">
      <t>ハイスイ</t>
    </rPh>
    <rPh sb="3" eb="5">
      <t>ノウリョク</t>
    </rPh>
    <phoneticPr fontId="1"/>
  </si>
  <si>
    <t>　維持管理体制</t>
    <rPh sb="1" eb="3">
      <t>イジ</t>
    </rPh>
    <rPh sb="3" eb="5">
      <t>カンリ</t>
    </rPh>
    <rPh sb="5" eb="7">
      <t>タイセイ</t>
    </rPh>
    <phoneticPr fontId="1"/>
  </si>
  <si>
    <t>無処理</t>
    <rPh sb="0" eb="1">
      <t>ム</t>
    </rPh>
    <rPh sb="1" eb="3">
      <t>ショリ</t>
    </rPh>
    <phoneticPr fontId="1"/>
  </si>
  <si>
    <t>無</t>
    <rPh sb="0" eb="1">
      <t>ナ</t>
    </rPh>
    <phoneticPr fontId="1"/>
  </si>
  <si>
    <t>再編シナリオ</t>
    <rPh sb="0" eb="2">
      <t>サイヘン</t>
    </rPh>
    <phoneticPr fontId="1"/>
  </si>
  <si>
    <t>＜単独再編＞</t>
    <rPh sb="1" eb="3">
      <t>タンドク</t>
    </rPh>
    <rPh sb="3" eb="5">
      <t>サイヘン</t>
    </rPh>
    <phoneticPr fontId="1"/>
  </si>
  <si>
    <t>送水ポンプ</t>
    <rPh sb="0" eb="2">
      <t>ソウスイ</t>
    </rPh>
    <phoneticPr fontId="1"/>
  </si>
  <si>
    <t>取水スクリーン</t>
    <rPh sb="0" eb="2">
      <t>シュスイ</t>
    </rPh>
    <phoneticPr fontId="3"/>
  </si>
  <si>
    <t>50-100m3/日</t>
    <rPh sb="9" eb="10">
      <t>ニチ</t>
    </rPh>
    <phoneticPr fontId="3"/>
  </si>
  <si>
    <t>沈砂池</t>
    <rPh sb="0" eb="3">
      <t>チンサチ</t>
    </rPh>
    <phoneticPr fontId="3"/>
  </si>
  <si>
    <t>導水ポンプ</t>
    <rPh sb="0" eb="2">
      <t>ドウスイ</t>
    </rPh>
    <phoneticPr fontId="3"/>
  </si>
  <si>
    <t>50A</t>
  </si>
  <si>
    <t>30mL/min</t>
  </si>
  <si>
    <t>配管</t>
    <rPh sb="0" eb="2">
      <t>ハイカン</t>
    </rPh>
    <phoneticPr fontId="1"/>
  </si>
  <si>
    <t>円/m</t>
    <rPh sb="0" eb="1">
      <t>エン</t>
    </rPh>
    <phoneticPr fontId="1"/>
  </si>
  <si>
    <t>工事事例</t>
    <rPh sb="0" eb="4">
      <t>コウジジレイ</t>
    </rPh>
    <phoneticPr fontId="1"/>
  </si>
  <si>
    <t>ｍ</t>
    <phoneticPr fontId="1"/>
  </si>
  <si>
    <t>円</t>
    <rPh sb="0" eb="1">
      <t>エン</t>
    </rPh>
    <phoneticPr fontId="1"/>
  </si>
  <si>
    <t>送水ポンプ（1.5kW）</t>
    <rPh sb="0" eb="2">
      <t>ソウスイ</t>
    </rPh>
    <phoneticPr fontId="3"/>
  </si>
  <si>
    <t>送水ポンプ（3.7kW）</t>
    <rPh sb="0" eb="2">
      <t>ソウスイ</t>
    </rPh>
    <phoneticPr fontId="3"/>
  </si>
  <si>
    <t>配水池</t>
    <rPh sb="0" eb="3">
      <t>ハイスイチ</t>
    </rPh>
    <phoneticPr fontId="1"/>
  </si>
  <si>
    <t>配水池（12m3，RC造）</t>
    <rPh sb="0" eb="3">
      <t>ハイスイチ</t>
    </rPh>
    <rPh sb="11" eb="12">
      <t>ゾウ</t>
    </rPh>
    <phoneticPr fontId="8"/>
  </si>
  <si>
    <t>配水池（10m3，鋼板製FRP加工）</t>
    <rPh sb="0" eb="3">
      <t>ハイスイチ</t>
    </rPh>
    <rPh sb="9" eb="12">
      <t>コウハンセイ</t>
    </rPh>
    <rPh sb="15" eb="17">
      <t>カコウ</t>
    </rPh>
    <phoneticPr fontId="8"/>
  </si>
  <si>
    <t>新設配水池</t>
    <rPh sb="0" eb="2">
      <t>シンセツ</t>
    </rPh>
    <phoneticPr fontId="1"/>
  </si>
  <si>
    <t>新設送水ポンプ</t>
    <rPh sb="0" eb="2">
      <t>シンセツ</t>
    </rPh>
    <rPh sb="2" eb="4">
      <t>ソウスイ</t>
    </rPh>
    <phoneticPr fontId="1"/>
  </si>
  <si>
    <t>なし</t>
    <phoneticPr fontId="1"/>
  </si>
  <si>
    <t>台</t>
    <rPh sb="0" eb="1">
      <t>ダイ</t>
    </rPh>
    <phoneticPr fontId="1"/>
  </si>
  <si>
    <t>基</t>
    <rPh sb="0" eb="1">
      <t>キ</t>
    </rPh>
    <phoneticPr fontId="1"/>
  </si>
  <si>
    <t>取水施設</t>
    <rPh sb="0" eb="4">
      <t>シュスイシセツ</t>
    </rPh>
    <phoneticPr fontId="1"/>
  </si>
  <si>
    <t>【表流水】スクリーン＋沈砂池</t>
    <rPh sb="1" eb="4">
      <t>ヒョウリュウスイ</t>
    </rPh>
    <rPh sb="11" eb="14">
      <t>チンサチ</t>
    </rPh>
    <phoneticPr fontId="1"/>
  </si>
  <si>
    <t>【表流水】スクリーン＋沈砂池＋導水ポンプ</t>
    <rPh sb="1" eb="4">
      <t>ヒョウリュウスイ</t>
    </rPh>
    <rPh sb="11" eb="14">
      <t>チンサチ</t>
    </rPh>
    <rPh sb="15" eb="17">
      <t>ドウスイ</t>
    </rPh>
    <phoneticPr fontId="1"/>
  </si>
  <si>
    <t>設備費用リスト</t>
    <rPh sb="0" eb="2">
      <t>セツビ</t>
    </rPh>
    <rPh sb="2" eb="4">
      <t>ヒヨウ</t>
    </rPh>
    <phoneticPr fontId="1"/>
  </si>
  <si>
    <t>水中ポンプ＋制御盤</t>
    <rPh sb="0" eb="2">
      <t>スイチュウ</t>
    </rPh>
    <rPh sb="6" eb="9">
      <t>セイギョバン</t>
    </rPh>
    <phoneticPr fontId="1"/>
  </si>
  <si>
    <t>【湧水】取水桝</t>
    <rPh sb="1" eb="3">
      <t>ユウスイ</t>
    </rPh>
    <rPh sb="4" eb="7">
      <t>シュスイマス</t>
    </rPh>
    <phoneticPr fontId="1"/>
  </si>
  <si>
    <t>浸透桝・接合井，RC造×2槽</t>
    <rPh sb="0" eb="2">
      <t>シントウ</t>
    </rPh>
    <rPh sb="2" eb="3">
      <t>マス</t>
    </rPh>
    <rPh sb="4" eb="6">
      <t>セツゴウ</t>
    </rPh>
    <rPh sb="6" eb="7">
      <t>イ</t>
    </rPh>
    <rPh sb="10" eb="11">
      <t>ゾウ</t>
    </rPh>
    <rPh sb="13" eb="14">
      <t>ソウ</t>
    </rPh>
    <phoneticPr fontId="8"/>
  </si>
  <si>
    <t>取水桝</t>
    <rPh sb="0" eb="2">
      <t>シュスイ</t>
    </rPh>
    <rPh sb="2" eb="3">
      <t>マス</t>
    </rPh>
    <phoneticPr fontId="1"/>
  </si>
  <si>
    <t>式</t>
    <rPh sb="0" eb="1">
      <t>シキ</t>
    </rPh>
    <phoneticPr fontId="1"/>
  </si>
  <si>
    <t>浄水設備</t>
    <rPh sb="0" eb="4">
      <t>ジョウスイセツビ</t>
    </rPh>
    <phoneticPr fontId="1"/>
  </si>
  <si>
    <t>簡易ろ過</t>
    <rPh sb="0" eb="2">
      <t>カンイ</t>
    </rPh>
    <rPh sb="3" eb="4">
      <t>カ</t>
    </rPh>
    <phoneticPr fontId="1"/>
  </si>
  <si>
    <t>簡易ろ過装置</t>
    <rPh sb="0" eb="2">
      <t>カンイ</t>
    </rPh>
    <rPh sb="3" eb="4">
      <t>カ</t>
    </rPh>
    <rPh sb="4" eb="6">
      <t>ソウチ</t>
    </rPh>
    <phoneticPr fontId="1"/>
  </si>
  <si>
    <t>12m3/日</t>
    <rPh sb="5" eb="6">
      <t>ニチ</t>
    </rPh>
    <phoneticPr fontId="1"/>
  </si>
  <si>
    <t>24-48m3/日</t>
    <rPh sb="8" eb="9">
      <t>ニチ</t>
    </rPh>
    <phoneticPr fontId="1"/>
  </si>
  <si>
    <t>滅菌ポンプ</t>
    <rPh sb="0" eb="2">
      <t>メッキン</t>
    </rPh>
    <phoneticPr fontId="8"/>
  </si>
  <si>
    <t>無処理</t>
    <rPh sb="0" eb="3">
      <t>ムショリ</t>
    </rPh>
    <phoneticPr fontId="1"/>
  </si>
  <si>
    <t>〇</t>
    <phoneticPr fontId="1"/>
  </si>
  <si>
    <t>取水設備</t>
    <rPh sb="0" eb="4">
      <t>シュスイセツビ</t>
    </rPh>
    <phoneticPr fontId="1"/>
  </si>
  <si>
    <t>膜ろ過＋消毒</t>
    <rPh sb="0" eb="1">
      <t>マク</t>
    </rPh>
    <rPh sb="2" eb="3">
      <t>カ</t>
    </rPh>
    <rPh sb="4" eb="6">
      <t>ショウドク</t>
    </rPh>
    <phoneticPr fontId="1"/>
  </si>
  <si>
    <t>簡易ろ過+消毒</t>
    <rPh sb="0" eb="2">
      <t>カンイ</t>
    </rPh>
    <rPh sb="3" eb="4">
      <t>カ</t>
    </rPh>
    <rPh sb="5" eb="7">
      <t>ショウドク</t>
    </rPh>
    <phoneticPr fontId="1"/>
  </si>
  <si>
    <t>急速ろ過＋消毒</t>
    <rPh sb="0" eb="2">
      <t>キュウソク</t>
    </rPh>
    <rPh sb="3" eb="4">
      <t>カ</t>
    </rPh>
    <rPh sb="5" eb="7">
      <t>ショウドク</t>
    </rPh>
    <phoneticPr fontId="1"/>
  </si>
  <si>
    <t>新設管路（導水管）</t>
    <rPh sb="0" eb="2">
      <t>シンセツ</t>
    </rPh>
    <rPh sb="2" eb="4">
      <t>カンロ</t>
    </rPh>
    <rPh sb="5" eb="8">
      <t>ドウスイカン</t>
    </rPh>
    <phoneticPr fontId="1"/>
  </si>
  <si>
    <t>新設管路（送水管1）</t>
    <rPh sb="0" eb="2">
      <t>シンセツ</t>
    </rPh>
    <rPh sb="2" eb="4">
      <t>カンロ</t>
    </rPh>
    <rPh sb="5" eb="8">
      <t>ソウスイカン</t>
    </rPh>
    <phoneticPr fontId="1"/>
  </si>
  <si>
    <t>新設管路（送水管2）</t>
    <rPh sb="0" eb="2">
      <t>シンセツ</t>
    </rPh>
    <rPh sb="2" eb="4">
      <t>カンロ</t>
    </rPh>
    <rPh sb="5" eb="8">
      <t>ソウスイカン</t>
    </rPh>
    <phoneticPr fontId="1"/>
  </si>
  <si>
    <t>新設管路（送水管3）</t>
    <rPh sb="0" eb="2">
      <t>シンセツ</t>
    </rPh>
    <rPh sb="2" eb="4">
      <t>カンロ</t>
    </rPh>
    <rPh sb="5" eb="8">
      <t>ソウスイカン</t>
    </rPh>
    <phoneticPr fontId="1"/>
  </si>
  <si>
    <t>略表記</t>
    <rPh sb="0" eb="1">
      <t>リャク</t>
    </rPh>
    <rPh sb="1" eb="3">
      <t>ヒョウキ</t>
    </rPh>
    <phoneticPr fontId="1"/>
  </si>
  <si>
    <t>費用</t>
    <rPh sb="0" eb="2">
      <t>ヒヨウ</t>
    </rPh>
    <phoneticPr fontId="1"/>
  </si>
  <si>
    <t>パターン</t>
    <phoneticPr fontId="1"/>
  </si>
  <si>
    <t>H29厚労省</t>
  </si>
  <si>
    <t>H29厚労省</t>
    <rPh sb="3" eb="6">
      <t>コウロウショウ</t>
    </rPh>
    <phoneticPr fontId="1"/>
  </si>
  <si>
    <t>H28厚労省</t>
    <rPh sb="3" eb="6">
      <t>コウロウショウ</t>
    </rPh>
    <phoneticPr fontId="1"/>
  </si>
  <si>
    <t>H29厚労省</t>
    <phoneticPr fontId="1"/>
  </si>
  <si>
    <t>車道脇・未舗装</t>
    <rPh sb="0" eb="2">
      <t>シャドウ</t>
    </rPh>
    <rPh sb="2" eb="3">
      <t>ワキ</t>
    </rPh>
    <rPh sb="4" eb="5">
      <t>ミ</t>
    </rPh>
    <rPh sb="5" eb="7">
      <t>ホソウ</t>
    </rPh>
    <phoneticPr fontId="1"/>
  </si>
  <si>
    <t>共同活動対応，農地脇・未舗装</t>
    <rPh sb="0" eb="4">
      <t>キョウドウカツドウ</t>
    </rPh>
    <rPh sb="4" eb="6">
      <t>タイオウ</t>
    </rPh>
    <rPh sb="7" eb="9">
      <t>ノウチ</t>
    </rPh>
    <rPh sb="9" eb="10">
      <t>ワキ</t>
    </rPh>
    <rPh sb="11" eb="14">
      <t>ミホソウ</t>
    </rPh>
    <phoneticPr fontId="1"/>
  </si>
  <si>
    <t>①車道脇・未舗装，②林道脇・未舗装</t>
    <rPh sb="1" eb="3">
      <t>シャドウ</t>
    </rPh>
    <rPh sb="3" eb="4">
      <t>ワキ</t>
    </rPh>
    <rPh sb="5" eb="8">
      <t>ミホソウ</t>
    </rPh>
    <rPh sb="10" eb="12">
      <t>リンドウ</t>
    </rPh>
    <rPh sb="12" eb="13">
      <t>ワキ</t>
    </rPh>
    <rPh sb="14" eb="17">
      <t>ミホソウ</t>
    </rPh>
    <phoneticPr fontId="1"/>
  </si>
  <si>
    <t>詳細不明</t>
    <rPh sb="0" eb="4">
      <t>ショウサイフメイ</t>
    </rPh>
    <phoneticPr fontId="1"/>
  </si>
  <si>
    <t>林道脇・未舗装</t>
    <rPh sb="0" eb="3">
      <t>リンドウワキ</t>
    </rPh>
    <rPh sb="4" eb="7">
      <t>ミホソウ</t>
    </rPh>
    <phoneticPr fontId="1"/>
  </si>
  <si>
    <t>ポリエチレン管，φ50</t>
    <rPh sb="6" eb="7">
      <t>カン</t>
    </rPh>
    <phoneticPr fontId="8"/>
  </si>
  <si>
    <t>硬質塩ビ管，φ100</t>
    <rPh sb="0" eb="3">
      <t>コウシツエン</t>
    </rPh>
    <rPh sb="4" eb="5">
      <t>カン</t>
    </rPh>
    <phoneticPr fontId="8"/>
  </si>
  <si>
    <t>平均（硬質塩ビ・φ100，未舗装）</t>
    <rPh sb="0" eb="2">
      <t>ヘイキン</t>
    </rPh>
    <rPh sb="3" eb="6">
      <t>コウシツエン</t>
    </rPh>
    <rPh sb="13" eb="16">
      <t>ミホソウ</t>
    </rPh>
    <phoneticPr fontId="1"/>
  </si>
  <si>
    <t>ポリエチレン管，φ75（舗装）</t>
    <rPh sb="6" eb="7">
      <t>カン</t>
    </rPh>
    <rPh sb="12" eb="14">
      <t>ホソウ</t>
    </rPh>
    <phoneticPr fontId="8"/>
  </si>
  <si>
    <t>H23費用関数（開削工）</t>
    <rPh sb="3" eb="7">
      <t>ヒヨウカンスウ</t>
    </rPh>
    <rPh sb="8" eb="11">
      <t>カイサクコウ</t>
    </rPh>
    <phoneticPr fontId="1"/>
  </si>
  <si>
    <t>硬質塩ビ管，φ50（車道）</t>
    <rPh sb="0" eb="2">
      <t>コウシツ</t>
    </rPh>
    <rPh sb="2" eb="3">
      <t>エン</t>
    </rPh>
    <rPh sb="4" eb="5">
      <t>カン</t>
    </rPh>
    <phoneticPr fontId="1"/>
  </si>
  <si>
    <t>硬質塩ビ管，φ75（車道）</t>
    <rPh sb="0" eb="2">
      <t>コウシツ</t>
    </rPh>
    <rPh sb="2" eb="3">
      <t>エン</t>
    </rPh>
    <rPh sb="4" eb="5">
      <t>カン</t>
    </rPh>
    <phoneticPr fontId="1"/>
  </si>
  <si>
    <t>硬質塩ビ管，φ100（車道）</t>
    <rPh sb="0" eb="2">
      <t>コウシツ</t>
    </rPh>
    <rPh sb="2" eb="3">
      <t>エン</t>
    </rPh>
    <rPh sb="4" eb="5">
      <t>カン</t>
    </rPh>
    <phoneticPr fontId="1"/>
  </si>
  <si>
    <t>ポリエチレン管，φ50（車道）</t>
    <rPh sb="6" eb="7">
      <t>カン</t>
    </rPh>
    <rPh sb="12" eb="14">
      <t>シャドウ</t>
    </rPh>
    <phoneticPr fontId="8"/>
  </si>
  <si>
    <t>ポリエチレン管，φ75（車道）</t>
    <rPh sb="6" eb="7">
      <t>カン</t>
    </rPh>
    <rPh sb="12" eb="14">
      <t>シャドウ</t>
    </rPh>
    <phoneticPr fontId="8"/>
  </si>
  <si>
    <t>ポリエチレン管，φ100（車道）</t>
    <rPh sb="6" eb="7">
      <t>カン</t>
    </rPh>
    <rPh sb="13" eb="15">
      <t>シャドウ</t>
    </rPh>
    <phoneticPr fontId="8"/>
  </si>
  <si>
    <t>H25厚労省</t>
    <phoneticPr fontId="1"/>
  </si>
  <si>
    <t>標準埋設配管</t>
    <rPh sb="0" eb="6">
      <t>ヒョウジュンマイセツハイカン</t>
    </rPh>
    <phoneticPr fontId="1"/>
  </si>
  <si>
    <t>ポリエチレン管，φ50（舗装）</t>
    <rPh sb="6" eb="7">
      <t>カン</t>
    </rPh>
    <rPh sb="12" eb="14">
      <t>ホソウ</t>
    </rPh>
    <phoneticPr fontId="8"/>
  </si>
  <si>
    <t>ポリエチレン管，φ100（舗装）</t>
    <rPh sb="6" eb="7">
      <t>カン</t>
    </rPh>
    <rPh sb="13" eb="15">
      <t>ホソウ</t>
    </rPh>
    <phoneticPr fontId="8"/>
  </si>
  <si>
    <t>深井戸(φ100)，32A, H=40m</t>
    <rPh sb="0" eb="3">
      <t>フカイド</t>
    </rPh>
    <phoneticPr fontId="1"/>
  </si>
  <si>
    <t>深井戸(φ100)，32A, H=80m</t>
    <rPh sb="0" eb="3">
      <t>フカイド</t>
    </rPh>
    <phoneticPr fontId="1"/>
  </si>
  <si>
    <t>基本情報の選択肢</t>
    <rPh sb="0" eb="4">
      <t>キホンジョウホウ</t>
    </rPh>
    <rPh sb="5" eb="8">
      <t>センタクシ</t>
    </rPh>
    <phoneticPr fontId="1"/>
  </si>
  <si>
    <t>イニシャルコスト選択肢</t>
    <rPh sb="8" eb="11">
      <t>センタクシ</t>
    </rPh>
    <phoneticPr fontId="1"/>
  </si>
  <si>
    <t>ランニングコスト計算</t>
    <rPh sb="8" eb="10">
      <t>ケイサン</t>
    </rPh>
    <phoneticPr fontId="1"/>
  </si>
  <si>
    <t>イニシャルコスト計算</t>
    <rPh sb="8" eb="10">
      <t>ケイサン</t>
    </rPh>
    <phoneticPr fontId="1"/>
  </si>
  <si>
    <t>1．現状</t>
    <rPh sb="2" eb="4">
      <t>ゲンジョウ</t>
    </rPh>
    <phoneticPr fontId="1"/>
  </si>
  <si>
    <t>単独再編の場合</t>
    <rPh sb="0" eb="2">
      <t>タンドク</t>
    </rPh>
    <rPh sb="2" eb="4">
      <t>サイヘン</t>
    </rPh>
    <rPh sb="5" eb="7">
      <t>バアイ</t>
    </rPh>
    <phoneticPr fontId="1"/>
  </si>
  <si>
    <t>(1)現状の事業概要</t>
    <rPh sb="3" eb="5">
      <t>ゲンジョウ</t>
    </rPh>
    <rPh sb="6" eb="10">
      <t>ジギョウガイヨウ</t>
    </rPh>
    <phoneticPr fontId="1"/>
  </si>
  <si>
    <t>(2)現状の施設</t>
    <rPh sb="3" eb="5">
      <t>ゲンジョウ</t>
    </rPh>
    <rPh sb="6" eb="8">
      <t>シセツ</t>
    </rPh>
    <phoneticPr fontId="1"/>
  </si>
  <si>
    <t>①水道種別</t>
    <rPh sb="1" eb="3">
      <t>スイドウ</t>
    </rPh>
    <rPh sb="3" eb="5">
      <t>シュベツ</t>
    </rPh>
    <phoneticPr fontId="1"/>
  </si>
  <si>
    <t>②計画給水人口</t>
    <rPh sb="1" eb="3">
      <t>ケイカク</t>
    </rPh>
    <rPh sb="3" eb="5">
      <t>キュウスイ</t>
    </rPh>
    <rPh sb="5" eb="7">
      <t>ジンコウ</t>
    </rPh>
    <phoneticPr fontId="1"/>
  </si>
  <si>
    <t>③現在給水人口</t>
    <rPh sb="1" eb="3">
      <t>ゲンザイ</t>
    </rPh>
    <rPh sb="3" eb="5">
      <t>キュウスイ</t>
    </rPh>
    <rPh sb="5" eb="7">
      <t>ジンコウ</t>
    </rPh>
    <phoneticPr fontId="1"/>
  </si>
  <si>
    <t>④配水能力</t>
    <rPh sb="1" eb="3">
      <t>ハイスイ</t>
    </rPh>
    <rPh sb="3" eb="5">
      <t>ノウリョク</t>
    </rPh>
    <phoneticPr fontId="1"/>
  </si>
  <si>
    <t>⑤維持管理主体</t>
    <rPh sb="1" eb="3">
      <t>イジ</t>
    </rPh>
    <rPh sb="3" eb="5">
      <t>カンリ</t>
    </rPh>
    <rPh sb="5" eb="7">
      <t>シュタイ</t>
    </rPh>
    <phoneticPr fontId="1"/>
  </si>
  <si>
    <t>①水源1</t>
    <rPh sb="1" eb="3">
      <t>スイゲン</t>
    </rPh>
    <phoneticPr fontId="1"/>
  </si>
  <si>
    <t>②処理方法1</t>
    <rPh sb="1" eb="3">
      <t>ショリ</t>
    </rPh>
    <rPh sb="3" eb="5">
      <t>ホウホウ</t>
    </rPh>
    <phoneticPr fontId="1"/>
  </si>
  <si>
    <t>③浄水場設置数</t>
    <rPh sb="1" eb="4">
      <t>ジョウスイジョウ</t>
    </rPh>
    <rPh sb="4" eb="7">
      <t>セッチスウ</t>
    </rPh>
    <phoneticPr fontId="1"/>
  </si>
  <si>
    <t>(3)新規に追加する設備</t>
    <rPh sb="3" eb="5">
      <t>シンキ</t>
    </rPh>
    <rPh sb="6" eb="8">
      <t>ツイカ</t>
    </rPh>
    <rPh sb="10" eb="12">
      <t>セツビ</t>
    </rPh>
    <phoneticPr fontId="1"/>
  </si>
  <si>
    <t>コスト</t>
    <phoneticPr fontId="1"/>
  </si>
  <si>
    <t>3．コスト推計結果</t>
    <rPh sb="5" eb="9">
      <t>スイケイケッカ</t>
    </rPh>
    <phoneticPr fontId="1"/>
  </si>
  <si>
    <t>単独</t>
    <rPh sb="0" eb="2">
      <t>タンドク</t>
    </rPh>
    <phoneticPr fontId="1"/>
  </si>
  <si>
    <t>上水道（２万人超）</t>
    <rPh sb="0" eb="3">
      <t>ジョウスイドウ</t>
    </rPh>
    <rPh sb="5" eb="7">
      <t>マンニン</t>
    </rPh>
    <rPh sb="7" eb="8">
      <t>チョウ</t>
    </rPh>
    <phoneticPr fontId="1"/>
  </si>
  <si>
    <t>上水道（2万人未満）</t>
    <rPh sb="0" eb="3">
      <t>ジョウスイドウ</t>
    </rPh>
    <rPh sb="5" eb="7">
      <t>マンニン</t>
    </rPh>
    <rPh sb="7" eb="9">
      <t>ミマン</t>
    </rPh>
    <phoneticPr fontId="1"/>
  </si>
  <si>
    <t>簡易水道</t>
    <rPh sb="0" eb="4">
      <t>カンイスイドウ</t>
    </rPh>
    <phoneticPr fontId="1"/>
  </si>
  <si>
    <t>事業形態</t>
    <rPh sb="0" eb="4">
      <t>ジギョウケイタイ</t>
    </rPh>
    <phoneticPr fontId="1"/>
  </si>
  <si>
    <t>費用合計</t>
    <rPh sb="0" eb="4">
      <t>ヒヨウゴウケイ</t>
    </rPh>
    <phoneticPr fontId="1"/>
  </si>
  <si>
    <t>Initial Cost</t>
    <phoneticPr fontId="1"/>
  </si>
  <si>
    <t>Running Cost</t>
    <phoneticPr fontId="1"/>
  </si>
  <si>
    <t>↓各パターンでの採用数値</t>
    <rPh sb="1" eb="2">
      <t>カク</t>
    </rPh>
    <rPh sb="8" eb="10">
      <t>サイヨウ</t>
    </rPh>
    <rPh sb="10" eb="12">
      <t>スウチ</t>
    </rPh>
    <phoneticPr fontId="1"/>
  </si>
  <si>
    <t>千円/年</t>
    <rPh sb="0" eb="1">
      <t>セン</t>
    </rPh>
    <rPh sb="1" eb="2">
      <t>エン</t>
    </rPh>
    <rPh sb="3" eb="4">
      <t>ネン</t>
    </rPh>
    <phoneticPr fontId="1"/>
  </si>
  <si>
    <t>千円</t>
    <rPh sb="0" eb="1">
      <t>セン</t>
    </rPh>
    <rPh sb="1" eb="2">
      <t>エン</t>
    </rPh>
    <phoneticPr fontId="1"/>
  </si>
  <si>
    <t>ポリエチレン管，φ150（舗装）</t>
    <rPh sb="6" eb="7">
      <t>カン</t>
    </rPh>
    <rPh sb="13" eb="15">
      <t>ホソウ</t>
    </rPh>
    <phoneticPr fontId="8"/>
  </si>
  <si>
    <t>硬質塩ビ管，φ25（車道）</t>
    <rPh sb="0" eb="2">
      <t>コウシツ</t>
    </rPh>
    <rPh sb="2" eb="3">
      <t>エン</t>
    </rPh>
    <rPh sb="4" eb="5">
      <t>カン</t>
    </rPh>
    <phoneticPr fontId="1"/>
  </si>
  <si>
    <t>ポリエチレン管，φ25（車道）</t>
    <rPh sb="6" eb="7">
      <t>カン</t>
    </rPh>
    <rPh sb="12" eb="14">
      <t>シャドウ</t>
    </rPh>
    <phoneticPr fontId="8"/>
  </si>
  <si>
    <t>硬質塩ビ管，φ150（車道）</t>
    <rPh sb="0" eb="2">
      <t>コウシツ</t>
    </rPh>
    <rPh sb="2" eb="3">
      <t>エン</t>
    </rPh>
    <rPh sb="4" eb="5">
      <t>カン</t>
    </rPh>
    <phoneticPr fontId="1"/>
  </si>
  <si>
    <t>ポリエチレン管，φ150（車道）</t>
    <rPh sb="6" eb="7">
      <t>カン</t>
    </rPh>
    <rPh sb="13" eb="15">
      <t>シャドウ</t>
    </rPh>
    <phoneticPr fontId="8"/>
  </si>
  <si>
    <t>既存浄水施設</t>
    <rPh sb="0" eb="2">
      <t>キゾン</t>
    </rPh>
    <rPh sb="2" eb="4">
      <t>ジョウスイ</t>
    </rPh>
    <rPh sb="4" eb="6">
      <t>シセツ</t>
    </rPh>
    <phoneticPr fontId="1"/>
  </si>
  <si>
    <t>(4)既存施設の利用有無</t>
    <rPh sb="3" eb="5">
      <t>キソン</t>
    </rPh>
    <rPh sb="5" eb="7">
      <t>シセツ</t>
    </rPh>
    <rPh sb="8" eb="10">
      <t>リヨウ</t>
    </rPh>
    <rPh sb="10" eb="12">
      <t>ウム</t>
    </rPh>
    <phoneticPr fontId="1"/>
  </si>
  <si>
    <t>既存取水施設</t>
    <rPh sb="0" eb="2">
      <t>キゾン</t>
    </rPh>
    <rPh sb="2" eb="6">
      <t>シュスイシセツ</t>
    </rPh>
    <phoneticPr fontId="1"/>
  </si>
  <si>
    <t>既存施設</t>
    <rPh sb="0" eb="4">
      <t>キゾンシセツ</t>
    </rPh>
    <phoneticPr fontId="1"/>
  </si>
  <si>
    <t>利用する</t>
    <rPh sb="0" eb="2">
      <t>リヨウ</t>
    </rPh>
    <phoneticPr fontId="1"/>
  </si>
  <si>
    <t>利用しない</t>
    <rPh sb="0" eb="2">
      <t>リヨウ</t>
    </rPh>
    <phoneticPr fontId="1"/>
  </si>
  <si>
    <t>＜経営統合（非接続）による再編（合計）＞</t>
    <rPh sb="1" eb="5">
      <t>ケイエイトウゴウ</t>
    </rPh>
    <rPh sb="6" eb="9">
      <t>ヒセツゾク</t>
    </rPh>
    <rPh sb="13" eb="15">
      <t>サイヘン</t>
    </rPh>
    <rPh sb="16" eb="18">
      <t>ゴウケイ</t>
    </rPh>
    <phoneticPr fontId="1"/>
  </si>
  <si>
    <t>＜合併（経営統合）前の相手先評価）＞</t>
    <rPh sb="1" eb="3">
      <t>ガッペイ</t>
    </rPh>
    <rPh sb="4" eb="6">
      <t>ケイエイ</t>
    </rPh>
    <rPh sb="6" eb="8">
      <t>トウゴウ</t>
    </rPh>
    <rPh sb="9" eb="10">
      <t>マエ</t>
    </rPh>
    <rPh sb="11" eb="13">
      <t>アイテ</t>
    </rPh>
    <rPh sb="13" eb="14">
      <t>サキ</t>
    </rPh>
    <rPh sb="14" eb="16">
      <t>ヒョウカ</t>
    </rPh>
    <phoneticPr fontId="1"/>
  </si>
  <si>
    <t>Ver</t>
    <phoneticPr fontId="1"/>
  </si>
  <si>
    <t>初版作成</t>
    <rPh sb="0" eb="4">
      <t>ショハンサクセイ</t>
    </rPh>
    <phoneticPr fontId="1"/>
  </si>
  <si>
    <t>標準ろ過能力；18m3/h</t>
    <rPh sb="0" eb="2">
      <t>ヒョウジュン</t>
    </rPh>
    <rPh sb="3" eb="6">
      <t>カノウリョク</t>
    </rPh>
    <phoneticPr fontId="1"/>
  </si>
  <si>
    <t>標準ろ過能力；30m3/h</t>
    <phoneticPr fontId="1"/>
  </si>
  <si>
    <t>日付</t>
    <rPh sb="0" eb="2">
      <t>ヒヅケ</t>
    </rPh>
    <phoneticPr fontId="1"/>
  </si>
  <si>
    <t>硬質塩ビ管，φ13（未舗装）</t>
    <rPh sb="0" eb="2">
      <t>コウシツ</t>
    </rPh>
    <rPh sb="2" eb="3">
      <t>エン</t>
    </rPh>
    <rPh sb="4" eb="5">
      <t>カン</t>
    </rPh>
    <rPh sb="10" eb="13">
      <t>ミホソウ</t>
    </rPh>
    <phoneticPr fontId="1"/>
  </si>
  <si>
    <t>硬質塩ビ管，φ20（未舗装）</t>
    <rPh sb="0" eb="2">
      <t>コウシツ</t>
    </rPh>
    <rPh sb="2" eb="3">
      <t>エン</t>
    </rPh>
    <rPh sb="4" eb="5">
      <t>カン</t>
    </rPh>
    <rPh sb="10" eb="13">
      <t>ミホソウ</t>
    </rPh>
    <phoneticPr fontId="1"/>
  </si>
  <si>
    <t>硬質塩ビ管，φ25（未舗装）</t>
    <rPh sb="0" eb="2">
      <t>コウシツ</t>
    </rPh>
    <rPh sb="2" eb="3">
      <t>エン</t>
    </rPh>
    <rPh sb="4" eb="5">
      <t>カン</t>
    </rPh>
    <rPh sb="10" eb="13">
      <t>ミホソウ</t>
    </rPh>
    <phoneticPr fontId="1"/>
  </si>
  <si>
    <t>硬質塩ビ管，φ30（未舗装）</t>
    <rPh sb="0" eb="2">
      <t>コウシツ</t>
    </rPh>
    <rPh sb="2" eb="3">
      <t>エン</t>
    </rPh>
    <rPh sb="4" eb="5">
      <t>カン</t>
    </rPh>
    <rPh sb="10" eb="13">
      <t>ミホソウ</t>
    </rPh>
    <phoneticPr fontId="1"/>
  </si>
  <si>
    <t>硬質塩ビ管，φ40（未舗装）</t>
    <rPh sb="0" eb="2">
      <t>コウシツ</t>
    </rPh>
    <rPh sb="2" eb="3">
      <t>エン</t>
    </rPh>
    <rPh sb="4" eb="5">
      <t>カン</t>
    </rPh>
    <rPh sb="10" eb="13">
      <t>ミホソウ</t>
    </rPh>
    <phoneticPr fontId="1"/>
  </si>
  <si>
    <t>硬質塩ビ管，φ50（未舗装）</t>
    <rPh sb="0" eb="2">
      <t>コウシツ</t>
    </rPh>
    <rPh sb="2" eb="3">
      <t>エン</t>
    </rPh>
    <rPh sb="4" eb="5">
      <t>カン</t>
    </rPh>
    <rPh sb="10" eb="13">
      <t>ミホソウ</t>
    </rPh>
    <phoneticPr fontId="1"/>
  </si>
  <si>
    <t>硬質塩ビ管，φ75（未舗装）</t>
    <rPh sb="0" eb="2">
      <t>コウシツ</t>
    </rPh>
    <rPh sb="2" eb="3">
      <t>エン</t>
    </rPh>
    <rPh sb="4" eb="5">
      <t>カン</t>
    </rPh>
    <rPh sb="10" eb="13">
      <t>ミホソウ</t>
    </rPh>
    <phoneticPr fontId="1"/>
  </si>
  <si>
    <t>硬質塩ビ管，φ100（未舗装）</t>
    <rPh sb="0" eb="2">
      <t>コウシツ</t>
    </rPh>
    <rPh sb="2" eb="3">
      <t>エン</t>
    </rPh>
    <rPh sb="4" eb="5">
      <t>カン</t>
    </rPh>
    <rPh sb="11" eb="14">
      <t>ミホソウ</t>
    </rPh>
    <phoneticPr fontId="1"/>
  </si>
  <si>
    <t>硬質塩ビ管，φ150（未舗装）</t>
    <rPh sb="0" eb="2">
      <t>コウシツ</t>
    </rPh>
    <rPh sb="2" eb="3">
      <t>エン</t>
    </rPh>
    <rPh sb="4" eb="5">
      <t>カン</t>
    </rPh>
    <rPh sb="11" eb="14">
      <t>ミホソウ</t>
    </rPh>
    <phoneticPr fontId="1"/>
  </si>
  <si>
    <t>積算システム</t>
    <rPh sb="0" eb="2">
      <t>セキサン</t>
    </rPh>
    <phoneticPr fontId="1"/>
  </si>
  <si>
    <t>ポリエチレン管，φ20（未舗装）</t>
    <rPh sb="6" eb="7">
      <t>カン</t>
    </rPh>
    <rPh sb="12" eb="13">
      <t>ミ</t>
    </rPh>
    <rPh sb="13" eb="15">
      <t>ホソウ</t>
    </rPh>
    <phoneticPr fontId="8"/>
  </si>
  <si>
    <t>ポリエチレン管，φ25（未舗装）</t>
    <rPh sb="6" eb="7">
      <t>カン</t>
    </rPh>
    <rPh sb="12" eb="13">
      <t>ミ</t>
    </rPh>
    <rPh sb="13" eb="15">
      <t>ホソウ</t>
    </rPh>
    <phoneticPr fontId="8"/>
  </si>
  <si>
    <t>ポリエチレン管，φ30（未舗装）</t>
    <rPh sb="6" eb="7">
      <t>カン</t>
    </rPh>
    <rPh sb="12" eb="13">
      <t>ミ</t>
    </rPh>
    <rPh sb="13" eb="15">
      <t>ホソウ</t>
    </rPh>
    <phoneticPr fontId="8"/>
  </si>
  <si>
    <t>ポリエチレン管，φ40（未舗装）</t>
    <rPh sb="6" eb="7">
      <t>カン</t>
    </rPh>
    <rPh sb="12" eb="13">
      <t>ミ</t>
    </rPh>
    <rPh sb="13" eb="15">
      <t>ホソウ</t>
    </rPh>
    <phoneticPr fontId="8"/>
  </si>
  <si>
    <t>ポリエチレン管，φ50（未舗装）</t>
    <rPh sb="6" eb="7">
      <t>カン</t>
    </rPh>
    <rPh sb="12" eb="13">
      <t>ミ</t>
    </rPh>
    <rPh sb="13" eb="15">
      <t>ホソウ</t>
    </rPh>
    <phoneticPr fontId="8"/>
  </si>
  <si>
    <t>配水ポリエチレン管，φ75（未舗装）</t>
    <rPh sb="0" eb="2">
      <t>ハイスイ</t>
    </rPh>
    <rPh sb="8" eb="9">
      <t>カン</t>
    </rPh>
    <rPh sb="14" eb="15">
      <t>ミ</t>
    </rPh>
    <rPh sb="15" eb="17">
      <t>ホソウ</t>
    </rPh>
    <phoneticPr fontId="8"/>
  </si>
  <si>
    <t>配水ポリエチレン管，φ100（未舗装）</t>
    <rPh sb="0" eb="2">
      <t>ハイスイ</t>
    </rPh>
    <rPh sb="8" eb="9">
      <t>カン</t>
    </rPh>
    <rPh sb="15" eb="16">
      <t>ミ</t>
    </rPh>
    <rPh sb="16" eb="18">
      <t>ホソウ</t>
    </rPh>
    <phoneticPr fontId="8"/>
  </si>
  <si>
    <t>青色</t>
    <rPh sb="0" eb="2">
      <t>アオイロ</t>
    </rPh>
    <phoneticPr fontId="1"/>
  </si>
  <si>
    <t>黒色，二層管</t>
    <rPh sb="0" eb="2">
      <t>クロイロ</t>
    </rPh>
    <rPh sb="3" eb="4">
      <t>ニ</t>
    </rPh>
    <rPh sb="4" eb="5">
      <t>ソウ</t>
    </rPh>
    <rPh sb="5" eb="6">
      <t>カン</t>
    </rPh>
    <phoneticPr fontId="1"/>
  </si>
  <si>
    <t>シナリオ1</t>
    <phoneticPr fontId="1"/>
  </si>
  <si>
    <t>シナリオ2</t>
  </si>
  <si>
    <t>シナリオ3</t>
  </si>
  <si>
    <t>現状</t>
    <rPh sb="0" eb="2">
      <t>ゲンジョウ</t>
    </rPh>
    <phoneticPr fontId="1"/>
  </si>
  <si>
    <t>＜現状評価＞</t>
    <rPh sb="1" eb="5">
      <t>ゲンジョウヒョウカ</t>
    </rPh>
    <phoneticPr fontId="1"/>
  </si>
  <si>
    <t>イニシャルコスト（単独）</t>
    <rPh sb="9" eb="11">
      <t>タンドク</t>
    </rPh>
    <phoneticPr fontId="1"/>
  </si>
  <si>
    <t>イニシャルコスト（合併・経営統合）</t>
    <rPh sb="9" eb="11">
      <t>ガッペイ</t>
    </rPh>
    <rPh sb="12" eb="16">
      <t>ケイエイトウゴウ</t>
    </rPh>
    <phoneticPr fontId="1"/>
  </si>
  <si>
    <t>考え方</t>
    <rPh sb="0" eb="1">
      <t>カンガ</t>
    </rPh>
    <rPh sb="2" eb="3">
      <t>カタ</t>
    </rPh>
    <phoneticPr fontId="1"/>
  </si>
  <si>
    <t>合併・経営統合をしない場合
（ScinarioシートI列）</t>
    <rPh sb="0" eb="2">
      <t>ガッペイ</t>
    </rPh>
    <rPh sb="3" eb="5">
      <t>ケイエイ</t>
    </rPh>
    <rPh sb="5" eb="7">
      <t>トウゴウ</t>
    </rPh>
    <rPh sb="11" eb="13">
      <t>バアイ</t>
    </rPh>
    <rPh sb="27" eb="28">
      <t>レツ</t>
    </rPh>
    <phoneticPr fontId="1"/>
  </si>
  <si>
    <t>＜合併（接続）による再編＞</t>
    <rPh sb="1" eb="3">
      <t>ガッペイ</t>
    </rPh>
    <rPh sb="4" eb="6">
      <t>セツゾク</t>
    </rPh>
    <rPh sb="10" eb="12">
      <t>サイヘン</t>
    </rPh>
    <phoneticPr fontId="1"/>
  </si>
  <si>
    <t>経営統合（非接続）による再編の場合
（ScinarioシートD列とP列のAND/OR）</t>
    <rPh sb="0" eb="4">
      <t>ケイエイトウゴウ</t>
    </rPh>
    <rPh sb="5" eb="6">
      <t>ヒ</t>
    </rPh>
    <rPh sb="6" eb="8">
      <t>セツゾク</t>
    </rPh>
    <rPh sb="12" eb="14">
      <t>サイヘン</t>
    </rPh>
    <rPh sb="15" eb="17">
      <t>バアイ</t>
    </rPh>
    <rPh sb="31" eb="32">
      <t>レツ</t>
    </rPh>
    <rPh sb="34" eb="35">
      <t>レツ</t>
    </rPh>
    <phoneticPr fontId="1"/>
  </si>
  <si>
    <t>現状
（ScinarioシートD列）</t>
    <rPh sb="0" eb="2">
      <t>ゲンジョウ</t>
    </rPh>
    <phoneticPr fontId="1"/>
  </si>
  <si>
    <t>経営統合（非接続）による再編の相手先
（ScinarioシートP列）</t>
    <rPh sb="0" eb="2">
      <t>ケイエイ</t>
    </rPh>
    <rPh sb="2" eb="4">
      <t>トウゴウ</t>
    </rPh>
    <rPh sb="5" eb="6">
      <t>ヒ</t>
    </rPh>
    <rPh sb="6" eb="8">
      <t>セツゾク</t>
    </rPh>
    <rPh sb="12" eb="14">
      <t>サイヘン</t>
    </rPh>
    <rPh sb="15" eb="17">
      <t>アイテ</t>
    </rPh>
    <rPh sb="17" eb="18">
      <t>サキ</t>
    </rPh>
    <phoneticPr fontId="1"/>
  </si>
  <si>
    <t>処理方法（急速ろ過）</t>
    <rPh sb="0" eb="2">
      <t>ショリ</t>
    </rPh>
    <rPh sb="2" eb="4">
      <t>ホウホウ</t>
    </rPh>
    <rPh sb="5" eb="7">
      <t>キュウソク</t>
    </rPh>
    <rPh sb="8" eb="9">
      <t>カ</t>
    </rPh>
    <phoneticPr fontId="1"/>
  </si>
  <si>
    <t>合併（接続）による再編の場合
（ScinarioシートD列とP列のAND/OR）
※既存施設の利用有無でさらに場合分けされる</t>
    <rPh sb="0" eb="2">
      <t>ガッペイ</t>
    </rPh>
    <rPh sb="3" eb="5">
      <t>セツゾク</t>
    </rPh>
    <rPh sb="9" eb="11">
      <t>サイヘン</t>
    </rPh>
    <rPh sb="12" eb="14">
      <t>バアイ</t>
    </rPh>
    <rPh sb="28" eb="29">
      <t>レツ</t>
    </rPh>
    <rPh sb="31" eb="32">
      <t>レツ</t>
    </rPh>
    <rPh sb="42" eb="46">
      <t>キゾンシセツ</t>
    </rPh>
    <rPh sb="47" eb="51">
      <t>リヨウウム</t>
    </rPh>
    <rPh sb="55" eb="58">
      <t>バアイワ</t>
    </rPh>
    <phoneticPr fontId="1"/>
  </si>
  <si>
    <t>Y</t>
    <phoneticPr fontId="1"/>
  </si>
  <si>
    <t>x1</t>
    <phoneticPr fontId="1"/>
  </si>
  <si>
    <t>x2</t>
  </si>
  <si>
    <t>x2</t>
    <phoneticPr fontId="1"/>
  </si>
  <si>
    <t>x3</t>
  </si>
  <si>
    <t>x4</t>
  </si>
  <si>
    <t>x5</t>
  </si>
  <si>
    <t>Y = (x1-'RC'!$I$19)/'RC'!$J$19*'RC'!$K$19+(x2-'RC'!$I$20)/'RC'!$J$20*'RC'!$K$20+x3*'RC'!$K$21+x4*'RC'!$K$22+x5*'RC'!$K$23+'RC'!$K$24)*'RC'!$J$24+'RC'!$I$24</t>
    <phoneticPr fontId="1"/>
  </si>
  <si>
    <t>Y = (x1-'RC'!$I$12)/'RC'!$J$12*'RC'!$K$12+x2*'RC'!$K$13+x3*'RC'!$K$14+'RC'!$K$15)*'RC'!$J$15+'RC'!$I$15</t>
    <phoneticPr fontId="1"/>
  </si>
  <si>
    <t>Y = (x1-'RC'!$I$6)/'RC'!$J$6*'RC'!$K$6+x2*'RC'!$K$7+'RC'!$K$8)*'RC'!$J$8+'RC'!$I$8</t>
    <phoneticPr fontId="1"/>
  </si>
  <si>
    <t>元の計算式は円/年なので千円/年に変換している</t>
    <rPh sb="0" eb="1">
      <t>モト</t>
    </rPh>
    <rPh sb="2" eb="5">
      <t>ケイサンシキ</t>
    </rPh>
    <rPh sb="6" eb="7">
      <t>エン</t>
    </rPh>
    <rPh sb="8" eb="9">
      <t>ネン</t>
    </rPh>
    <rPh sb="12" eb="14">
      <t>センエン</t>
    </rPh>
    <rPh sb="15" eb="16">
      <t>ネン</t>
    </rPh>
    <rPh sb="17" eb="19">
      <t>ヘンカン</t>
    </rPh>
    <phoneticPr fontId="1"/>
  </si>
  <si>
    <t>Y = (x1-'RC'!$I$28)/'RC'!$J$28*'RC'!$K$28+x2*'RC'!$K$29+'RC'!$K$30)/1000</t>
    <phoneticPr fontId="1"/>
  </si>
  <si>
    <r>
      <t>上水道（計画給水人口が2万人</t>
    </r>
    <r>
      <rPr>
        <b/>
        <sz val="11"/>
        <rFont val="游ゴシック"/>
        <family val="3"/>
        <charset val="128"/>
        <scheme val="minor"/>
      </rPr>
      <t>未満</t>
    </r>
    <r>
      <rPr>
        <sz val="11"/>
        <rFont val="游ゴシック"/>
        <family val="3"/>
        <charset val="128"/>
        <scheme val="minor"/>
      </rPr>
      <t>）</t>
    </r>
    <rPh sb="0" eb="3">
      <t>ジョウスイドウ</t>
    </rPh>
    <rPh sb="4" eb="6">
      <t>ケイカク</t>
    </rPh>
    <rPh sb="6" eb="8">
      <t>キュウスイ</t>
    </rPh>
    <rPh sb="8" eb="10">
      <t>ジンコウ</t>
    </rPh>
    <rPh sb="12" eb="14">
      <t>マンニン</t>
    </rPh>
    <rPh sb="14" eb="16">
      <t>ミマン</t>
    </rPh>
    <phoneticPr fontId="1"/>
  </si>
  <si>
    <r>
      <t>上水道（計画給水人口が2万人</t>
    </r>
    <r>
      <rPr>
        <b/>
        <sz val="11"/>
        <rFont val="游ゴシック"/>
        <family val="3"/>
        <charset val="128"/>
        <scheme val="minor"/>
      </rPr>
      <t>以上、除・札幌</t>
    </r>
    <r>
      <rPr>
        <sz val="11"/>
        <rFont val="游ゴシック"/>
        <family val="3"/>
        <charset val="128"/>
        <scheme val="minor"/>
      </rPr>
      <t>）</t>
    </r>
    <rPh sb="0" eb="3">
      <t>ジョウスイドウ</t>
    </rPh>
    <rPh sb="4" eb="6">
      <t>ケイカク</t>
    </rPh>
    <rPh sb="6" eb="8">
      <t>キュウスイ</t>
    </rPh>
    <rPh sb="8" eb="10">
      <t>ジンコウ</t>
    </rPh>
    <rPh sb="12" eb="14">
      <t>マンニン</t>
    </rPh>
    <rPh sb="14" eb="16">
      <t>イジョウ</t>
    </rPh>
    <rPh sb="17" eb="18">
      <t>ノゾ</t>
    </rPh>
    <rPh sb="19" eb="21">
      <t>サッポロ</t>
    </rPh>
    <phoneticPr fontId="1"/>
  </si>
  <si>
    <t>結果表示欄</t>
    <rPh sb="0" eb="2">
      <t>ケッカ</t>
    </rPh>
    <rPh sb="2" eb="4">
      <t>ヒョウジ</t>
    </rPh>
    <rPh sb="4" eb="5">
      <t>ラン</t>
    </rPh>
    <phoneticPr fontId="1"/>
  </si>
  <si>
    <t>非該当欄</t>
    <rPh sb="0" eb="3">
      <t>ヒガイトウ</t>
    </rPh>
    <rPh sb="3" eb="4">
      <t>ラン</t>
    </rPh>
    <phoneticPr fontId="1"/>
  </si>
  <si>
    <t>参照欄</t>
    <rPh sb="0" eb="2">
      <t>サンショウ</t>
    </rPh>
    <rPh sb="2" eb="3">
      <t>ラン</t>
    </rPh>
    <phoneticPr fontId="1"/>
  </si>
  <si>
    <t>↑</t>
    <phoneticPr fontId="1"/>
  </si>
  <si>
    <t>コメント</t>
    <phoneticPr fontId="1"/>
  </si>
  <si>
    <t>井戸径φ250, 100A,L=30m</t>
    <rPh sb="0" eb="3">
      <t>イドケイ</t>
    </rPh>
    <phoneticPr fontId="8"/>
  </si>
  <si>
    <t>&lt;判定&gt;</t>
    <rPh sb="1" eb="3">
      <t>ハンテイ</t>
    </rPh>
    <phoneticPr fontId="1"/>
  </si>
  <si>
    <t>新規 水源1</t>
    <rPh sb="0" eb="2">
      <t>シンキ</t>
    </rPh>
    <rPh sb="3" eb="5">
      <t>スイゲン</t>
    </rPh>
    <phoneticPr fontId="1"/>
  </si>
  <si>
    <t>新規 水源2</t>
    <rPh sb="0" eb="2">
      <t>シンキ</t>
    </rPh>
    <rPh sb="3" eb="5">
      <t>スイゲン</t>
    </rPh>
    <phoneticPr fontId="1"/>
  </si>
  <si>
    <t>新規 水源3</t>
    <rPh sb="0" eb="2">
      <t>シンキ</t>
    </rPh>
    <rPh sb="3" eb="5">
      <t>スイゲン</t>
    </rPh>
    <phoneticPr fontId="1"/>
  </si>
  <si>
    <t>新規 水源4</t>
    <rPh sb="0" eb="2">
      <t>シンキ</t>
    </rPh>
    <rPh sb="3" eb="5">
      <t>スイゲン</t>
    </rPh>
    <phoneticPr fontId="1"/>
  </si>
  <si>
    <t>新規 処理方法1</t>
    <rPh sb="0" eb="2">
      <t>シンキ</t>
    </rPh>
    <rPh sb="3" eb="7">
      <t>ショリホウホウ</t>
    </rPh>
    <phoneticPr fontId="1"/>
  </si>
  <si>
    <t>新規 処理方法2</t>
    <rPh sb="0" eb="2">
      <t>シンキ</t>
    </rPh>
    <rPh sb="3" eb="7">
      <t>ショリホウホウ</t>
    </rPh>
    <phoneticPr fontId="1"/>
  </si>
  <si>
    <t>新規 処理方法3</t>
    <rPh sb="0" eb="2">
      <t>シンキ</t>
    </rPh>
    <rPh sb="3" eb="7">
      <t>ショリホウホウ</t>
    </rPh>
    <phoneticPr fontId="1"/>
  </si>
  <si>
    <t>新規 処理方法4</t>
    <rPh sb="0" eb="2">
      <t>シンキ</t>
    </rPh>
    <rPh sb="3" eb="7">
      <t>ショリホウホウ</t>
    </rPh>
    <phoneticPr fontId="1"/>
  </si>
  <si>
    <t>維持管理体制（単独再編）</t>
    <rPh sb="0" eb="4">
      <t>イジカンリ</t>
    </rPh>
    <rPh sb="4" eb="6">
      <t>タイセイ</t>
    </rPh>
    <rPh sb="7" eb="11">
      <t>タンドクサイヘン</t>
    </rPh>
    <phoneticPr fontId="1"/>
  </si>
  <si>
    <t>地域自律管理型</t>
    <rPh sb="0" eb="7">
      <t>チイキジリツカンリガタ</t>
    </rPh>
    <phoneticPr fontId="1"/>
  </si>
  <si>
    <t>現有施設利用</t>
    <rPh sb="0" eb="2">
      <t>ゲンユウ</t>
    </rPh>
    <rPh sb="2" eb="4">
      <t>シセツ</t>
    </rPh>
    <rPh sb="4" eb="6">
      <t>リヨウ</t>
    </rPh>
    <phoneticPr fontId="1"/>
  </si>
  <si>
    <t>維持管理主体の変更について（地域→地域）</t>
    <rPh sb="0" eb="4">
      <t>イジカンリ</t>
    </rPh>
    <rPh sb="4" eb="6">
      <t>シュタイ</t>
    </rPh>
    <rPh sb="7" eb="9">
      <t>ヘンコウ</t>
    </rPh>
    <rPh sb="14" eb="16">
      <t>チイキ</t>
    </rPh>
    <rPh sb="17" eb="19">
      <t>チイキ</t>
    </rPh>
    <phoneticPr fontId="1"/>
  </si>
  <si>
    <t>地域自律管理型のランニングコスト</t>
    <rPh sb="0" eb="4">
      <t>チイキジリツ</t>
    </rPh>
    <rPh sb="4" eb="6">
      <t>カンリ</t>
    </rPh>
    <rPh sb="6" eb="7">
      <t>ガタ</t>
    </rPh>
    <phoneticPr fontId="1"/>
  </si>
  <si>
    <t>地域自律管理型の運営体制</t>
    <rPh sb="0" eb="4">
      <t>チイキジリツ</t>
    </rPh>
    <rPh sb="4" eb="6">
      <t>カンリ</t>
    </rPh>
    <rPh sb="6" eb="7">
      <t>ガタ</t>
    </rPh>
    <rPh sb="8" eb="10">
      <t>ウンエイ</t>
    </rPh>
    <rPh sb="10" eb="12">
      <t>タイセイ</t>
    </rPh>
    <phoneticPr fontId="1"/>
  </si>
  <si>
    <t>水源1</t>
    <rPh sb="0" eb="2">
      <t>スイゲン</t>
    </rPh>
    <phoneticPr fontId="1"/>
  </si>
  <si>
    <t>水源2</t>
    <rPh sb="0" eb="2">
      <t>スイゲン</t>
    </rPh>
    <phoneticPr fontId="1"/>
  </si>
  <si>
    <t>水源3</t>
    <rPh sb="0" eb="2">
      <t>スイゲン</t>
    </rPh>
    <phoneticPr fontId="1"/>
  </si>
  <si>
    <t>水源4</t>
    <rPh sb="0" eb="2">
      <t>スイゲン</t>
    </rPh>
    <phoneticPr fontId="1"/>
  </si>
  <si>
    <t>処理方式1</t>
    <rPh sb="0" eb="4">
      <t>ショリホウシキ</t>
    </rPh>
    <phoneticPr fontId="1"/>
  </si>
  <si>
    <t>処理方式2</t>
    <rPh sb="0" eb="4">
      <t>ショリホウシキ</t>
    </rPh>
    <phoneticPr fontId="1"/>
  </si>
  <si>
    <t>処理方式3</t>
    <rPh sb="0" eb="4">
      <t>ショリホウシキ</t>
    </rPh>
    <phoneticPr fontId="1"/>
  </si>
  <si>
    <t>処理方式4</t>
    <rPh sb="0" eb="4">
      <t>ショリホウシキ</t>
    </rPh>
    <phoneticPr fontId="1"/>
  </si>
  <si>
    <t>水道利用組合等</t>
    <rPh sb="0" eb="2">
      <t>スイドウ</t>
    </rPh>
    <rPh sb="2" eb="4">
      <t>リヨウ</t>
    </rPh>
    <rPh sb="4" eb="6">
      <t>クミアイ</t>
    </rPh>
    <rPh sb="6" eb="7">
      <t>トウ</t>
    </rPh>
    <phoneticPr fontId="1"/>
  </si>
  <si>
    <t>自治体・公営企業</t>
    <rPh sb="0" eb="3">
      <t>ジチタイ</t>
    </rPh>
    <rPh sb="4" eb="6">
      <t>コウエイ</t>
    </rPh>
    <rPh sb="6" eb="8">
      <t>キギョウ</t>
    </rPh>
    <phoneticPr fontId="1"/>
  </si>
  <si>
    <t>変更内容</t>
    <rPh sb="0" eb="2">
      <t>ヘンコウ</t>
    </rPh>
    <rPh sb="2" eb="4">
      <t>ナイヨウ</t>
    </rPh>
    <phoneticPr fontId="1"/>
  </si>
  <si>
    <t>シナリオ3</t>
    <phoneticPr fontId="1"/>
  </si>
  <si>
    <t>シナリオ2</t>
    <phoneticPr fontId="1"/>
  </si>
  <si>
    <t>管路（導水管）</t>
    <rPh sb="0" eb="2">
      <t>カンロ</t>
    </rPh>
    <rPh sb="3" eb="6">
      <t>ドウスイカン</t>
    </rPh>
    <phoneticPr fontId="1"/>
  </si>
  <si>
    <t>配水池</t>
    <phoneticPr fontId="1"/>
  </si>
  <si>
    <t>※複数ある場合に入力</t>
    <rPh sb="1" eb="3">
      <t>フクスウ</t>
    </rPh>
    <rPh sb="5" eb="7">
      <t>バアイ</t>
    </rPh>
    <rPh sb="8" eb="10">
      <t>ニュウリョク</t>
    </rPh>
    <phoneticPr fontId="1"/>
  </si>
  <si>
    <t>さく井工事（深井戸・条件◎）</t>
    <rPh sb="2" eb="3">
      <t>イ</t>
    </rPh>
    <rPh sb="3" eb="5">
      <t>コウジ</t>
    </rPh>
    <rPh sb="6" eb="9">
      <t>フカイド</t>
    </rPh>
    <rPh sb="10" eb="12">
      <t>ジョウケン</t>
    </rPh>
    <phoneticPr fontId="1"/>
  </si>
  <si>
    <t>さく井工事（深井戸・条件〇）</t>
    <rPh sb="2" eb="3">
      <t>イ</t>
    </rPh>
    <rPh sb="3" eb="5">
      <t>コウジ</t>
    </rPh>
    <rPh sb="6" eb="9">
      <t>フカイド</t>
    </rPh>
    <rPh sb="10" eb="12">
      <t>ジョウケン</t>
    </rPh>
    <phoneticPr fontId="1"/>
  </si>
  <si>
    <t>大手業者見積</t>
    <rPh sb="0" eb="4">
      <t>オオテギョウシャ</t>
    </rPh>
    <rPh sb="4" eb="6">
      <t>ミツモリ</t>
    </rPh>
    <phoneticPr fontId="1"/>
  </si>
  <si>
    <t>井戸径φ300, 150A,L=100m</t>
    <rPh sb="0" eb="3">
      <t>イドケイ</t>
    </rPh>
    <phoneticPr fontId="8"/>
  </si>
  <si>
    <t>さく井工事（浅井戸）</t>
    <rPh sb="2" eb="3">
      <t>イ</t>
    </rPh>
    <rPh sb="3" eb="5">
      <t>コウジ</t>
    </rPh>
    <rPh sb="6" eb="8">
      <t>アサイ</t>
    </rPh>
    <rPh sb="8" eb="9">
      <t>ト</t>
    </rPh>
    <phoneticPr fontId="1"/>
  </si>
  <si>
    <t>井戸径φ86, 40A, L=20m</t>
    <rPh sb="0" eb="2">
      <t>イド</t>
    </rPh>
    <rPh sb="2" eb="3">
      <t>ケイ</t>
    </rPh>
    <phoneticPr fontId="1"/>
  </si>
  <si>
    <t>陸ポンプ+制御盤</t>
    <rPh sb="0" eb="1">
      <t>オカ</t>
    </rPh>
    <rPh sb="5" eb="8">
      <t>セイギョバン</t>
    </rPh>
    <phoneticPr fontId="1"/>
  </si>
  <si>
    <t>地元業者見積</t>
    <rPh sb="0" eb="2">
      <t>ジモト</t>
    </rPh>
    <rPh sb="2" eb="4">
      <t>ギョウシャ</t>
    </rPh>
    <rPh sb="4" eb="6">
      <t>ミツモリ</t>
    </rPh>
    <phoneticPr fontId="1"/>
  </si>
  <si>
    <t>地下水（深井戸）</t>
    <rPh sb="0" eb="3">
      <t>チカスイ</t>
    </rPh>
    <rPh sb="4" eb="7">
      <t>フカイド</t>
    </rPh>
    <phoneticPr fontId="1"/>
  </si>
  <si>
    <t>地下水（浅井戸）</t>
    <rPh sb="0" eb="3">
      <t>チカスイ</t>
    </rPh>
    <rPh sb="4" eb="7">
      <t>アサイド</t>
    </rPh>
    <phoneticPr fontId="1"/>
  </si>
  <si>
    <t>シナリオ＊</t>
    <phoneticPr fontId="1"/>
  </si>
  <si>
    <t>地下水利用を井戸スペックに応じて３パターン設定</t>
    <rPh sb="0" eb="5">
      <t>チカスイリヨウ</t>
    </rPh>
    <rPh sb="6" eb="8">
      <t>イド</t>
    </rPh>
    <rPh sb="13" eb="14">
      <t>オウ</t>
    </rPh>
    <rPh sb="21" eb="23">
      <t>セッテイ</t>
    </rPh>
    <phoneticPr fontId="1"/>
  </si>
  <si>
    <t>レイアウト・文字書式等を調整</t>
    <rPh sb="6" eb="8">
      <t>モジ</t>
    </rPh>
    <rPh sb="8" eb="10">
      <t>ショシキ</t>
    </rPh>
    <rPh sb="10" eb="11">
      <t>トウ</t>
    </rPh>
    <rPh sb="12" eb="14">
      <t>チョウセイ</t>
    </rPh>
    <phoneticPr fontId="1"/>
  </si>
  <si>
    <t>コメント表示機能を追加</t>
    <rPh sb="4" eb="8">
      <t>ヒョウジキノウ</t>
    </rPh>
    <rPh sb="9" eb="11">
      <t>ツイカ</t>
    </rPh>
    <phoneticPr fontId="1"/>
  </si>
  <si>
    <t>人</t>
    <rPh sb="0" eb="1">
      <t>ニン</t>
    </rPh>
    <phoneticPr fontId="1"/>
  </si>
  <si>
    <t>簡易ろ過</t>
    <rPh sb="0" eb="2">
      <t>カンイ</t>
    </rPh>
    <rPh sb="3" eb="4">
      <t>カ</t>
    </rPh>
    <phoneticPr fontId="1"/>
  </si>
  <si>
    <t>簡</t>
    <rPh sb="0" eb="1">
      <t>カン</t>
    </rPh>
    <phoneticPr fontId="1"/>
  </si>
  <si>
    <t>取水設備1</t>
    <rPh sb="0" eb="2">
      <t>シュスイ</t>
    </rPh>
    <rPh sb="2" eb="4">
      <t>セツビ</t>
    </rPh>
    <phoneticPr fontId="1"/>
  </si>
  <si>
    <t>浄水設備1</t>
    <rPh sb="0" eb="2">
      <t>ジョウスイ</t>
    </rPh>
    <rPh sb="2" eb="4">
      <t>セツビ</t>
    </rPh>
    <phoneticPr fontId="1"/>
  </si>
  <si>
    <t>送水ポンプ1</t>
    <rPh sb="0" eb="2">
      <t>ソウスイ</t>
    </rPh>
    <phoneticPr fontId="1"/>
  </si>
  <si>
    <t>配水池1</t>
  </si>
  <si>
    <t>配水池1</t>
    <phoneticPr fontId="1"/>
  </si>
  <si>
    <t>取水設備2</t>
    <rPh sb="0" eb="2">
      <t>シュスイ</t>
    </rPh>
    <rPh sb="2" eb="4">
      <t>セツビ</t>
    </rPh>
    <phoneticPr fontId="1"/>
  </si>
  <si>
    <t>浄水設備2</t>
    <rPh sb="0" eb="2">
      <t>ジョウスイ</t>
    </rPh>
    <rPh sb="2" eb="4">
      <t>セツビ</t>
    </rPh>
    <phoneticPr fontId="1"/>
  </si>
  <si>
    <t>送水ポンプ2</t>
    <rPh sb="0" eb="2">
      <t>ソウスイ</t>
    </rPh>
    <phoneticPr fontId="1"/>
  </si>
  <si>
    <t>配水池2</t>
  </si>
  <si>
    <t>初期コスト（千円）</t>
    <rPh sb="0" eb="2">
      <t>ショキ</t>
    </rPh>
    <rPh sb="6" eb="8">
      <t>センエン</t>
    </rPh>
    <phoneticPr fontId="1"/>
  </si>
  <si>
    <t>分散型井戸への転換の場合</t>
    <rPh sb="0" eb="3">
      <t>ブンサンガタ</t>
    </rPh>
    <rPh sb="3" eb="5">
      <t>イド</t>
    </rPh>
    <rPh sb="7" eb="9">
      <t>テンカン</t>
    </rPh>
    <rPh sb="10" eb="12">
      <t>バアイ</t>
    </rPh>
    <phoneticPr fontId="1"/>
  </si>
  <si>
    <t>(1)既存の水道利用者の居住地区全体について</t>
    <rPh sb="3" eb="5">
      <t>キソン</t>
    </rPh>
    <rPh sb="6" eb="8">
      <t>スイドウ</t>
    </rPh>
    <rPh sb="8" eb="11">
      <t>リヨウシャ</t>
    </rPh>
    <rPh sb="12" eb="14">
      <t>キョジュウ</t>
    </rPh>
    <rPh sb="14" eb="16">
      <t>チク</t>
    </rPh>
    <rPh sb="16" eb="18">
      <t>ゼンタイ</t>
    </rPh>
    <phoneticPr fontId="1"/>
  </si>
  <si>
    <t>シナリオ判定</t>
    <rPh sb="4" eb="6">
      <t>ハンテイ</t>
    </rPh>
    <phoneticPr fontId="1"/>
  </si>
  <si>
    <t>(2)各井戸の設備</t>
    <rPh sb="3" eb="4">
      <t>カク</t>
    </rPh>
    <rPh sb="4" eb="6">
      <t>イド</t>
    </rPh>
    <rPh sb="7" eb="9">
      <t>セツビ</t>
    </rPh>
    <phoneticPr fontId="1"/>
  </si>
  <si>
    <t>②地下水位が低い（水中ポンプを使用する）場合</t>
    <rPh sb="1" eb="5">
      <t>チカスイイ</t>
    </rPh>
    <rPh sb="6" eb="7">
      <t>ヒク</t>
    </rPh>
    <rPh sb="9" eb="11">
      <t>スイチュウ</t>
    </rPh>
    <rPh sb="15" eb="17">
      <t>シヨウ</t>
    </rPh>
    <rPh sb="20" eb="22">
      <t>バアイ</t>
    </rPh>
    <phoneticPr fontId="1"/>
  </si>
  <si>
    <t>①地下水位が高い（陸ポンプを使用する）場合</t>
    <rPh sb="1" eb="5">
      <t>チカスイイ</t>
    </rPh>
    <rPh sb="6" eb="7">
      <t>タカ</t>
    </rPh>
    <rPh sb="9" eb="10">
      <t>リク</t>
    </rPh>
    <rPh sb="14" eb="16">
      <t>シヨウ</t>
    </rPh>
    <rPh sb="19" eb="21">
      <t>バアイ</t>
    </rPh>
    <phoneticPr fontId="1"/>
  </si>
  <si>
    <t>水資源Navi等により地下水条件を確認のうえ入力してください</t>
    <rPh sb="0" eb="3">
      <t>ミズシゲン</t>
    </rPh>
    <rPh sb="7" eb="8">
      <t>トウ</t>
    </rPh>
    <rPh sb="11" eb="14">
      <t>チカスイ</t>
    </rPh>
    <rPh sb="14" eb="16">
      <t>ジョウケン</t>
    </rPh>
    <rPh sb="17" eb="19">
      <t>カクニン</t>
    </rPh>
    <rPh sb="22" eb="24">
      <t>ニュウリョク</t>
    </rPh>
    <phoneticPr fontId="1"/>
  </si>
  <si>
    <t>①a</t>
    <phoneticPr fontId="1"/>
  </si>
  <si>
    <t>①b</t>
    <phoneticPr fontId="1"/>
  </si>
  <si>
    <t>②a</t>
    <phoneticPr fontId="1"/>
  </si>
  <si>
    <t>②b</t>
    <phoneticPr fontId="1"/>
  </si>
  <si>
    <t>　取水設備1</t>
    <rPh sb="1" eb="3">
      <t>シュスイ</t>
    </rPh>
    <rPh sb="3" eb="5">
      <t>セツビ</t>
    </rPh>
    <phoneticPr fontId="1"/>
  </si>
  <si>
    <t>　取水設備2</t>
    <rPh sb="1" eb="3">
      <t>シュスイ</t>
    </rPh>
    <rPh sb="3" eb="5">
      <t>セツビ</t>
    </rPh>
    <phoneticPr fontId="1"/>
  </si>
  <si>
    <t>　付帯設備2</t>
    <rPh sb="1" eb="3">
      <t>フタイ</t>
    </rPh>
    <rPh sb="3" eb="5">
      <t>セツビ</t>
    </rPh>
    <phoneticPr fontId="1"/>
  </si>
  <si>
    <t>　取水設備3</t>
    <rPh sb="1" eb="3">
      <t>シュスイ</t>
    </rPh>
    <rPh sb="3" eb="5">
      <t>セツビ</t>
    </rPh>
    <phoneticPr fontId="1"/>
  </si>
  <si>
    <t>　取水設備4</t>
    <rPh sb="1" eb="3">
      <t>シュスイ</t>
    </rPh>
    <rPh sb="3" eb="5">
      <t>セツビ</t>
    </rPh>
    <phoneticPr fontId="1"/>
  </si>
  <si>
    <t>宅内配管等工事</t>
    <rPh sb="0" eb="2">
      <t>タクナイ</t>
    </rPh>
    <rPh sb="2" eb="4">
      <t>ハイカン</t>
    </rPh>
    <rPh sb="4" eb="5">
      <t>トウ</t>
    </rPh>
    <rPh sb="5" eb="7">
      <t>コウジ</t>
    </rPh>
    <phoneticPr fontId="1"/>
  </si>
  <si>
    <t>φ40-10m敷設ほか</t>
    <rPh sb="7" eb="9">
      <t>フセツ</t>
    </rPh>
    <phoneticPr fontId="1"/>
  </si>
  <si>
    <t>　b. 掘削条件が良い井戸数</t>
    <rPh sb="4" eb="6">
      <t>クッサク</t>
    </rPh>
    <rPh sb="6" eb="8">
      <t>ジョウケン</t>
    </rPh>
    <rPh sb="9" eb="10">
      <t>ヨ</t>
    </rPh>
    <rPh sb="11" eb="13">
      <t>イド</t>
    </rPh>
    <rPh sb="13" eb="14">
      <t>スウ</t>
    </rPh>
    <phoneticPr fontId="1"/>
  </si>
  <si>
    <t>　a. 掘削条件が非常に良い井戸数</t>
    <rPh sb="4" eb="6">
      <t>クッサク</t>
    </rPh>
    <rPh sb="6" eb="8">
      <t>ジョウケン</t>
    </rPh>
    <rPh sb="9" eb="11">
      <t>ヒジョウ</t>
    </rPh>
    <rPh sb="12" eb="13">
      <t>ヨ</t>
    </rPh>
    <rPh sb="14" eb="16">
      <t>イド</t>
    </rPh>
    <rPh sb="16" eb="17">
      <t>ス</t>
    </rPh>
    <phoneticPr fontId="1"/>
  </si>
  <si>
    <t>　　※掘削深度100m程度</t>
    <rPh sb="3" eb="7">
      <t>クッサクシンド</t>
    </rPh>
    <rPh sb="11" eb="13">
      <t>テイド</t>
    </rPh>
    <phoneticPr fontId="1"/>
  </si>
  <si>
    <t>　b. 塩素消毒を行う井戸数</t>
    <rPh sb="4" eb="6">
      <t>エンソ</t>
    </rPh>
    <rPh sb="6" eb="8">
      <t>ショウドク</t>
    </rPh>
    <rPh sb="9" eb="10">
      <t>オコナ</t>
    </rPh>
    <rPh sb="11" eb="13">
      <t>イド</t>
    </rPh>
    <rPh sb="13" eb="14">
      <t>スウ</t>
    </rPh>
    <phoneticPr fontId="1"/>
  </si>
  <si>
    <t>　a. 塩素消毒を行わない井戸数</t>
    <rPh sb="4" eb="6">
      <t>エンソ</t>
    </rPh>
    <rPh sb="6" eb="8">
      <t>ショウドク</t>
    </rPh>
    <rPh sb="9" eb="10">
      <t>オコナ</t>
    </rPh>
    <rPh sb="13" eb="15">
      <t>イド</t>
    </rPh>
    <rPh sb="15" eb="16">
      <t>スウ</t>
    </rPh>
    <phoneticPr fontId="1"/>
  </si>
  <si>
    <t>個別井戸（1戸での使用）の総数</t>
    <rPh sb="0" eb="2">
      <t>コベツ</t>
    </rPh>
    <rPh sb="2" eb="4">
      <t>イド</t>
    </rPh>
    <rPh sb="6" eb="7">
      <t>コ</t>
    </rPh>
    <rPh sb="9" eb="11">
      <t>シヨウ</t>
    </rPh>
    <rPh sb="13" eb="15">
      <t>ソウスウ</t>
    </rPh>
    <phoneticPr fontId="1"/>
  </si>
  <si>
    <t>共同井戸（数戸での使用）の総数</t>
    <rPh sb="0" eb="4">
      <t>キョウドウイド</t>
    </rPh>
    <rPh sb="5" eb="6">
      <t>スウ</t>
    </rPh>
    <rPh sb="6" eb="7">
      <t>コ</t>
    </rPh>
    <rPh sb="9" eb="11">
      <t>シヨウ</t>
    </rPh>
    <rPh sb="13" eb="15">
      <t>ソウスウ</t>
    </rPh>
    <phoneticPr fontId="1"/>
  </si>
  <si>
    <t>イニシャルコスト（分散型井戸）</t>
    <rPh sb="9" eb="12">
      <t>ブンサンガタ</t>
    </rPh>
    <rPh sb="12" eb="14">
      <t>イド</t>
    </rPh>
    <phoneticPr fontId="1"/>
  </si>
  <si>
    <t>飲用井戸</t>
    <rPh sb="0" eb="4">
      <t>インヨウイド</t>
    </rPh>
    <phoneticPr fontId="1"/>
  </si>
  <si>
    <t>分散型井戸への転換</t>
    <rPh sb="0" eb="3">
      <t>ブンサンガタ</t>
    </rPh>
    <rPh sb="3" eb="5">
      <t>イド</t>
    </rPh>
    <rPh sb="7" eb="9">
      <t>テンカン</t>
    </rPh>
    <phoneticPr fontId="1"/>
  </si>
  <si>
    <t>分散型井戸への転換（初期コスト）</t>
    <rPh sb="0" eb="3">
      <t>ブンサンガタ</t>
    </rPh>
    <rPh sb="3" eb="5">
      <t>イド</t>
    </rPh>
    <rPh sb="7" eb="9">
      <t>テンカン</t>
    </rPh>
    <rPh sb="10" eb="12">
      <t>ショキ</t>
    </rPh>
    <phoneticPr fontId="1"/>
  </si>
  <si>
    <t>分散型井戸への転換（年間コスト）</t>
    <rPh sb="0" eb="3">
      <t>ブンサンガタ</t>
    </rPh>
    <rPh sb="3" eb="5">
      <t>イド</t>
    </rPh>
    <rPh sb="7" eb="9">
      <t>テンカン</t>
    </rPh>
    <rPh sb="10" eb="12">
      <t>ネンカン</t>
    </rPh>
    <phoneticPr fontId="1"/>
  </si>
  <si>
    <t>　※掘削深度20m程度，汚染リスクあり</t>
    <phoneticPr fontId="1"/>
  </si>
  <si>
    <t>　※掘削深度20m程度，汚染リスクなし</t>
    <rPh sb="2" eb="6">
      <t>クッサクシンド</t>
    </rPh>
    <rPh sb="9" eb="11">
      <t>テイド</t>
    </rPh>
    <rPh sb="12" eb="14">
      <t>オセン</t>
    </rPh>
    <phoneticPr fontId="1"/>
  </si>
  <si>
    <r>
      <rPr>
        <b/>
        <sz val="11"/>
        <color theme="1"/>
        <rFont val="Segoe UI Symbol"/>
        <family val="3"/>
      </rPr>
      <t>►</t>
    </r>
    <r>
      <rPr>
        <b/>
        <sz val="11"/>
        <color theme="1"/>
        <rFont val="游ゴシック"/>
        <family val="3"/>
        <charset val="128"/>
        <scheme val="minor"/>
      </rPr>
      <t>現状の事業について入力してください</t>
    </r>
    <rPh sb="1" eb="3">
      <t>ゲンジョウ</t>
    </rPh>
    <rPh sb="4" eb="6">
      <t>ジギョウ</t>
    </rPh>
    <rPh sb="10" eb="12">
      <t>ニュウリョク</t>
    </rPh>
    <phoneticPr fontId="1"/>
  </si>
  <si>
    <r>
      <rPr>
        <b/>
        <sz val="11"/>
        <color theme="1"/>
        <rFont val="Segoe UI Symbol"/>
        <family val="3"/>
      </rPr>
      <t>►</t>
    </r>
    <r>
      <rPr>
        <b/>
        <sz val="11"/>
        <color theme="1"/>
        <rFont val="游ゴシック"/>
        <family val="3"/>
        <charset val="128"/>
        <scheme val="minor"/>
      </rPr>
      <t>再編シナリオを設定してください</t>
    </r>
    <rPh sb="1" eb="3">
      <t>サイヘン</t>
    </rPh>
    <rPh sb="8" eb="10">
      <t>セッテイ</t>
    </rPh>
    <phoneticPr fontId="1"/>
  </si>
  <si>
    <r>
      <rPr>
        <b/>
        <sz val="11"/>
        <color theme="1"/>
        <rFont val="Segoe UI Symbol"/>
        <family val="3"/>
      </rPr>
      <t>►</t>
    </r>
    <r>
      <rPr>
        <b/>
        <sz val="11"/>
        <color theme="1"/>
        <rFont val="游ゴシック"/>
        <family val="3"/>
        <charset val="128"/>
        <scheme val="minor"/>
      </rPr>
      <t>再編後の事業について入力してください</t>
    </r>
    <rPh sb="1" eb="4">
      <t>サイヘンゴ</t>
    </rPh>
    <rPh sb="5" eb="7">
      <t>ジギョウ</t>
    </rPh>
    <rPh sb="11" eb="13">
      <t>ニュウリョク</t>
    </rPh>
    <phoneticPr fontId="1"/>
  </si>
  <si>
    <r>
      <rPr>
        <b/>
        <sz val="11"/>
        <color theme="1"/>
        <rFont val="Segoe UI Symbol"/>
        <family val="3"/>
      </rPr>
      <t>►</t>
    </r>
    <r>
      <rPr>
        <b/>
        <sz val="11"/>
        <color theme="1"/>
        <rFont val="游ゴシック"/>
        <family val="3"/>
        <charset val="128"/>
        <scheme val="minor"/>
      </rPr>
      <t>転換後の体制・施設について入力してください</t>
    </r>
    <rPh sb="1" eb="3">
      <t>テンカン</t>
    </rPh>
    <rPh sb="3" eb="4">
      <t>ゴ</t>
    </rPh>
    <rPh sb="5" eb="7">
      <t>タイセイ</t>
    </rPh>
    <rPh sb="8" eb="10">
      <t>シセツ</t>
    </rPh>
    <rPh sb="14" eb="16">
      <t>ニュウリョク</t>
    </rPh>
    <phoneticPr fontId="1"/>
  </si>
  <si>
    <r>
      <t>m</t>
    </r>
    <r>
      <rPr>
        <b/>
        <vertAlign val="superscript"/>
        <sz val="11"/>
        <color theme="1"/>
        <rFont val="游ゴシック"/>
        <family val="3"/>
        <charset val="128"/>
        <scheme val="minor"/>
      </rPr>
      <t>3</t>
    </r>
    <r>
      <rPr>
        <b/>
        <sz val="11"/>
        <color theme="1"/>
        <rFont val="游ゴシック"/>
        <family val="3"/>
        <charset val="128"/>
        <scheme val="minor"/>
      </rPr>
      <t>/日</t>
    </r>
    <rPh sb="3" eb="4">
      <t>ニチ</t>
    </rPh>
    <phoneticPr fontId="1"/>
  </si>
  <si>
    <r>
      <t>　水源2</t>
    </r>
    <r>
      <rPr>
        <b/>
        <vertAlign val="superscript"/>
        <sz val="11"/>
        <color theme="1"/>
        <rFont val="游ゴシック"/>
        <family val="3"/>
        <charset val="128"/>
        <scheme val="minor"/>
      </rPr>
      <t>※</t>
    </r>
    <rPh sb="1" eb="3">
      <t>スイゲン</t>
    </rPh>
    <phoneticPr fontId="1"/>
  </si>
  <si>
    <r>
      <t>　水源3</t>
    </r>
    <r>
      <rPr>
        <b/>
        <vertAlign val="superscript"/>
        <sz val="11"/>
        <color theme="1"/>
        <rFont val="游ゴシック"/>
        <family val="3"/>
        <charset val="128"/>
        <scheme val="minor"/>
      </rPr>
      <t>※</t>
    </r>
    <rPh sb="1" eb="3">
      <t>スイゲン</t>
    </rPh>
    <phoneticPr fontId="1"/>
  </si>
  <si>
    <r>
      <t>　水源4</t>
    </r>
    <r>
      <rPr>
        <b/>
        <vertAlign val="superscript"/>
        <sz val="11"/>
        <color theme="1"/>
        <rFont val="游ゴシック"/>
        <family val="3"/>
        <charset val="128"/>
        <scheme val="minor"/>
      </rPr>
      <t>※</t>
    </r>
    <rPh sb="1" eb="3">
      <t>スイゲン</t>
    </rPh>
    <phoneticPr fontId="1"/>
  </si>
  <si>
    <r>
      <t>　処理方法2</t>
    </r>
    <r>
      <rPr>
        <b/>
        <vertAlign val="superscript"/>
        <sz val="11"/>
        <color theme="1"/>
        <rFont val="游ゴシック"/>
        <family val="3"/>
        <charset val="128"/>
        <scheme val="minor"/>
      </rPr>
      <t>※</t>
    </r>
    <rPh sb="1" eb="3">
      <t>ショリ</t>
    </rPh>
    <rPh sb="3" eb="5">
      <t>ホウホウ</t>
    </rPh>
    <phoneticPr fontId="1"/>
  </si>
  <si>
    <r>
      <t>　処理方法3</t>
    </r>
    <r>
      <rPr>
        <b/>
        <vertAlign val="superscript"/>
        <sz val="11"/>
        <color theme="1"/>
        <rFont val="游ゴシック"/>
        <family val="3"/>
        <charset val="128"/>
        <scheme val="minor"/>
      </rPr>
      <t>※</t>
    </r>
    <rPh sb="1" eb="3">
      <t>ショリ</t>
    </rPh>
    <rPh sb="3" eb="5">
      <t>ホウホウ</t>
    </rPh>
    <phoneticPr fontId="1"/>
  </si>
  <si>
    <r>
      <t>　処理方法4</t>
    </r>
    <r>
      <rPr>
        <b/>
        <vertAlign val="superscript"/>
        <sz val="11"/>
        <color theme="1"/>
        <rFont val="游ゴシック"/>
        <family val="3"/>
        <charset val="128"/>
        <scheme val="minor"/>
      </rPr>
      <t>※</t>
    </r>
    <rPh sb="1" eb="3">
      <t>ショリ</t>
    </rPh>
    <rPh sb="3" eb="5">
      <t>ホウホウ</t>
    </rPh>
    <phoneticPr fontId="1"/>
  </si>
  <si>
    <t>コメント判定</t>
    <rPh sb="4" eb="6">
      <t>ハンテイ</t>
    </rPh>
    <phoneticPr fontId="1"/>
  </si>
  <si>
    <t>コメント候補</t>
    <rPh sb="4" eb="6">
      <t>コウホ</t>
    </rPh>
    <phoneticPr fontId="1"/>
  </si>
  <si>
    <t>計算部（非表示）</t>
    <rPh sb="0" eb="2">
      <t>ケイサン</t>
    </rPh>
    <rPh sb="2" eb="3">
      <t>ブ</t>
    </rPh>
    <rPh sb="4" eb="7">
      <t>ヒヒョウジ</t>
    </rPh>
    <phoneticPr fontId="1"/>
  </si>
  <si>
    <t>計算部（非表示）</t>
    <rPh sb="0" eb="3">
      <t>ケイサンブ</t>
    </rPh>
    <rPh sb="4" eb="7">
      <t>ヒヒョウジ</t>
    </rPh>
    <phoneticPr fontId="1"/>
  </si>
  <si>
    <t>ランニングコスト総括</t>
    <rPh sb="8" eb="10">
      <t>ソウカツ</t>
    </rPh>
    <phoneticPr fontId="1"/>
  </si>
  <si>
    <t>ランニングコスト試算</t>
    <rPh sb="8" eb="10">
      <t>シサン</t>
    </rPh>
    <phoneticPr fontId="1"/>
  </si>
  <si>
    <t>・既存施設で水道法または条例に対応できるか確認が必要です．</t>
    <rPh sb="1" eb="3">
      <t>キソン</t>
    </rPh>
    <rPh sb="3" eb="5">
      <t>シセツ</t>
    </rPh>
    <rPh sb="6" eb="9">
      <t>スイドウホウ</t>
    </rPh>
    <rPh sb="12" eb="14">
      <t>ジョウレイ</t>
    </rPh>
    <rPh sb="15" eb="17">
      <t>タイオウ</t>
    </rPh>
    <rPh sb="21" eb="23">
      <t>カクニン</t>
    </rPh>
    <rPh sb="24" eb="26">
      <t>ヒツヨウ</t>
    </rPh>
    <phoneticPr fontId="1"/>
  </si>
  <si>
    <t>・維持管理を委託に変更する場合は，契約形態について実践ガイドの事例等を参考にしてください．</t>
    <rPh sb="1" eb="5">
      <t>イジカンリ</t>
    </rPh>
    <rPh sb="6" eb="8">
      <t>イタク</t>
    </rPh>
    <rPh sb="9" eb="11">
      <t>ヘンコウ</t>
    </rPh>
    <rPh sb="13" eb="15">
      <t>バアイ</t>
    </rPh>
    <rPh sb="17" eb="21">
      <t>ケイヤクケイタイ</t>
    </rPh>
    <rPh sb="25" eb="27">
      <t>ジッセン</t>
    </rPh>
    <rPh sb="31" eb="33">
      <t>ジレイ</t>
    </rPh>
    <rPh sb="33" eb="34">
      <t>トウ</t>
    </rPh>
    <rPh sb="35" eb="37">
      <t>サンコウ</t>
    </rPh>
    <phoneticPr fontId="1"/>
  </si>
  <si>
    <t>・維持管理を地域で実施する場合は，市町村の助成制度を使える可能性があるので確認してください．</t>
    <rPh sb="1" eb="5">
      <t>イジカンリ</t>
    </rPh>
    <rPh sb="6" eb="8">
      <t>チイキ</t>
    </rPh>
    <rPh sb="9" eb="11">
      <t>ジッシ</t>
    </rPh>
    <rPh sb="13" eb="15">
      <t>バアイ</t>
    </rPh>
    <rPh sb="17" eb="20">
      <t>シチョウソン</t>
    </rPh>
    <rPh sb="21" eb="25">
      <t>ジョセイセイド</t>
    </rPh>
    <rPh sb="26" eb="27">
      <t>ツカ</t>
    </rPh>
    <rPh sb="29" eb="32">
      <t>カノウセイ</t>
    </rPh>
    <rPh sb="37" eb="39">
      <t>カクニン</t>
    </rPh>
    <phoneticPr fontId="1"/>
  </si>
  <si>
    <t>・表流水を水源にする場合は，当該河川の水利権を確認してください．</t>
    <rPh sb="1" eb="4">
      <t>ヒョウリュウスイ</t>
    </rPh>
    <rPh sb="5" eb="7">
      <t>スイゲン</t>
    </rPh>
    <rPh sb="10" eb="12">
      <t>バアイ</t>
    </rPh>
    <rPh sb="14" eb="16">
      <t>トウガイ</t>
    </rPh>
    <rPh sb="16" eb="18">
      <t>カセン</t>
    </rPh>
    <rPh sb="19" eb="22">
      <t>スイリケン</t>
    </rPh>
    <rPh sb="23" eb="25">
      <t>カクニン</t>
    </rPh>
    <phoneticPr fontId="1"/>
  </si>
  <si>
    <t>・伏流水を水源にする場合は，水利権の解釈に注意してください．</t>
    <rPh sb="1" eb="4">
      <t>フクリュウスイ</t>
    </rPh>
    <rPh sb="5" eb="7">
      <t>スイゲン</t>
    </rPh>
    <rPh sb="10" eb="12">
      <t>バアイ</t>
    </rPh>
    <rPh sb="14" eb="17">
      <t>スイリケン</t>
    </rPh>
    <rPh sb="18" eb="20">
      <t>カイシャク</t>
    </rPh>
    <rPh sb="21" eb="23">
      <t>チュウイ</t>
    </rPh>
    <phoneticPr fontId="1"/>
  </si>
  <si>
    <t>・湧水を水源にする場合は，取水時に地表への露出を最小限にするよう注意してください．</t>
    <rPh sb="1" eb="3">
      <t>ユウスイ</t>
    </rPh>
    <rPh sb="4" eb="6">
      <t>スイゲン</t>
    </rPh>
    <rPh sb="9" eb="11">
      <t>バアイ</t>
    </rPh>
    <rPh sb="13" eb="15">
      <t>シュスイ</t>
    </rPh>
    <rPh sb="15" eb="16">
      <t>ジ</t>
    </rPh>
    <rPh sb="17" eb="19">
      <t>チヒョウ</t>
    </rPh>
    <rPh sb="21" eb="23">
      <t>ロシュツ</t>
    </rPh>
    <rPh sb="24" eb="27">
      <t>サイショウゲン</t>
    </rPh>
    <rPh sb="32" eb="34">
      <t>チュウイ</t>
    </rPh>
    <phoneticPr fontId="1"/>
  </si>
  <si>
    <t>・緩速ろ過方式の場合は，砂のかきとりを適切な頻度で実施する必要があります．</t>
    <rPh sb="1" eb="3">
      <t>カンソク</t>
    </rPh>
    <rPh sb="4" eb="5">
      <t>カ</t>
    </rPh>
    <rPh sb="5" eb="7">
      <t>ホウシキ</t>
    </rPh>
    <rPh sb="8" eb="10">
      <t>バアイ</t>
    </rPh>
    <rPh sb="12" eb="13">
      <t>スナ</t>
    </rPh>
    <rPh sb="19" eb="21">
      <t>テキセツ</t>
    </rPh>
    <rPh sb="22" eb="24">
      <t>ヒンド</t>
    </rPh>
    <rPh sb="25" eb="27">
      <t>ジッシ</t>
    </rPh>
    <rPh sb="29" eb="31">
      <t>ヒツヨウ</t>
    </rPh>
    <phoneticPr fontId="1"/>
  </si>
  <si>
    <t>・急速ろ過方式の場合は，原水の水質に応じて凝集剤の注入量をコントロールする必要があるため，地域での管理の難易度は高めです．</t>
    <rPh sb="1" eb="3">
      <t>キュウソク</t>
    </rPh>
    <rPh sb="4" eb="5">
      <t>カ</t>
    </rPh>
    <rPh sb="5" eb="7">
      <t>ホウシキ</t>
    </rPh>
    <rPh sb="8" eb="10">
      <t>バアイ</t>
    </rPh>
    <rPh sb="12" eb="14">
      <t>ゲンスイ</t>
    </rPh>
    <rPh sb="15" eb="17">
      <t>スイシツ</t>
    </rPh>
    <rPh sb="18" eb="19">
      <t>オウ</t>
    </rPh>
    <rPh sb="21" eb="24">
      <t>ギョウシュウザイ</t>
    </rPh>
    <rPh sb="25" eb="27">
      <t>チュウニュウ</t>
    </rPh>
    <rPh sb="27" eb="28">
      <t>リョウ</t>
    </rPh>
    <rPh sb="37" eb="39">
      <t>ヒツヨウ</t>
    </rPh>
    <rPh sb="45" eb="47">
      <t>チイキ</t>
    </rPh>
    <rPh sb="49" eb="51">
      <t>カンリ</t>
    </rPh>
    <rPh sb="52" eb="55">
      <t>ナンイド</t>
    </rPh>
    <rPh sb="56" eb="57">
      <t>タカ</t>
    </rPh>
    <phoneticPr fontId="1"/>
  </si>
  <si>
    <t>・膜ろ過方式の場合は，膜ユニットの供給体制と交換サイクルを確認する必要があります．</t>
    <rPh sb="1" eb="2">
      <t>マク</t>
    </rPh>
    <rPh sb="3" eb="6">
      <t>カホウシキ</t>
    </rPh>
    <rPh sb="7" eb="9">
      <t>バアイ</t>
    </rPh>
    <rPh sb="11" eb="12">
      <t>マク</t>
    </rPh>
    <rPh sb="17" eb="21">
      <t>キョウキュウタイセイ</t>
    </rPh>
    <rPh sb="22" eb="24">
      <t>コウカン</t>
    </rPh>
    <rPh sb="29" eb="31">
      <t>カクニン</t>
    </rPh>
    <rPh sb="33" eb="35">
      <t>ヒツヨウ</t>
    </rPh>
    <phoneticPr fontId="1"/>
  </si>
  <si>
    <t>・水道法にかかる場合は，塩素消毒が必須です．</t>
    <rPh sb="1" eb="4">
      <t>スイドウホウ</t>
    </rPh>
    <rPh sb="8" eb="10">
      <t>バアイ</t>
    </rPh>
    <rPh sb="12" eb="14">
      <t>エンソ</t>
    </rPh>
    <rPh sb="14" eb="16">
      <t>ショウドク</t>
    </rPh>
    <rPh sb="17" eb="19">
      <t>ヒッス</t>
    </rPh>
    <phoneticPr fontId="1"/>
  </si>
  <si>
    <t>・市町村と地域の協力体制や地域高校等との連携については，実践ガイドを参照してください．</t>
    <rPh sb="1" eb="4">
      <t>シチョウソン</t>
    </rPh>
    <rPh sb="5" eb="7">
      <t>チイキ</t>
    </rPh>
    <rPh sb="8" eb="10">
      <t>キョウリョク</t>
    </rPh>
    <rPh sb="10" eb="12">
      <t>タイセイ</t>
    </rPh>
    <rPh sb="13" eb="15">
      <t>チイキ</t>
    </rPh>
    <rPh sb="15" eb="17">
      <t>コウコウ</t>
    </rPh>
    <rPh sb="17" eb="18">
      <t>トウ</t>
    </rPh>
    <rPh sb="20" eb="22">
      <t>レンケイ</t>
    </rPh>
    <rPh sb="28" eb="30">
      <t>ジッセン</t>
    </rPh>
    <rPh sb="34" eb="36">
      <t>サンショウ</t>
    </rPh>
    <phoneticPr fontId="1"/>
  </si>
  <si>
    <t>・年間コストには，役員報酬が含まれていません．なお，水質検査費用は含まれているので，市町村から助成が受けられる場合はその分を差し引いてください．</t>
    <rPh sb="1" eb="3">
      <t>ネンカン</t>
    </rPh>
    <rPh sb="9" eb="13">
      <t>ヤクインホウシュウ</t>
    </rPh>
    <rPh sb="14" eb="15">
      <t>フク</t>
    </rPh>
    <rPh sb="26" eb="30">
      <t>スイシツケンサ</t>
    </rPh>
    <rPh sb="30" eb="32">
      <t>ヒヨウ</t>
    </rPh>
    <rPh sb="33" eb="34">
      <t>フク</t>
    </rPh>
    <rPh sb="42" eb="45">
      <t>シチョウソン</t>
    </rPh>
    <rPh sb="47" eb="49">
      <t>ジョセイ</t>
    </rPh>
    <rPh sb="50" eb="51">
      <t>ウ</t>
    </rPh>
    <rPh sb="55" eb="57">
      <t>バアイ</t>
    </rPh>
    <rPh sb="60" eb="61">
      <t>ブン</t>
    </rPh>
    <rPh sb="62" eb="63">
      <t>サ</t>
    </rPh>
    <rPh sb="64" eb="65">
      <t>ヒ</t>
    </rPh>
    <phoneticPr fontId="1"/>
  </si>
  <si>
    <t>・各家庭に設置する井戸は，原則として個人所有の飲用井戸として扱われます．飲用井戸の基準等については，自治体および近隣の保健所にお問い合わせください．</t>
    <rPh sb="1" eb="4">
      <t>カクカテイ</t>
    </rPh>
    <rPh sb="5" eb="7">
      <t>セッチ</t>
    </rPh>
    <rPh sb="9" eb="11">
      <t>イド</t>
    </rPh>
    <rPh sb="13" eb="15">
      <t>ゲンソク</t>
    </rPh>
    <rPh sb="18" eb="22">
      <t>コジンショユウ</t>
    </rPh>
    <rPh sb="23" eb="27">
      <t>インヨウイド</t>
    </rPh>
    <rPh sb="30" eb="31">
      <t>アツカ</t>
    </rPh>
    <rPh sb="36" eb="40">
      <t>インヨウイド</t>
    </rPh>
    <rPh sb="41" eb="43">
      <t>キジュン</t>
    </rPh>
    <rPh sb="43" eb="44">
      <t>トウ</t>
    </rPh>
    <rPh sb="50" eb="53">
      <t>ジチタイ</t>
    </rPh>
    <rPh sb="56" eb="58">
      <t>キンリン</t>
    </rPh>
    <rPh sb="59" eb="62">
      <t>ホケンショ</t>
    </rPh>
    <rPh sb="64" eb="65">
      <t>ト</t>
    </rPh>
    <rPh sb="66" eb="67">
      <t>ア</t>
    </rPh>
    <phoneticPr fontId="1"/>
  </si>
  <si>
    <t>送配水設備</t>
    <rPh sb="0" eb="1">
      <t>ソウ</t>
    </rPh>
    <rPh sb="1" eb="3">
      <t>ハイスイ</t>
    </rPh>
    <rPh sb="3" eb="5">
      <t>セツビ</t>
    </rPh>
    <phoneticPr fontId="1"/>
  </si>
  <si>
    <t>初期コスト内訳（千円）</t>
    <rPh sb="0" eb="2">
      <t>ショキ</t>
    </rPh>
    <rPh sb="5" eb="7">
      <t>ウチワケ</t>
    </rPh>
    <rPh sb="8" eb="10">
      <t>センエン</t>
    </rPh>
    <phoneticPr fontId="1"/>
  </si>
  <si>
    <r>
      <rPr>
        <b/>
        <sz val="11"/>
        <color theme="1"/>
        <rFont val="Segoe UI Symbol"/>
        <family val="3"/>
      </rPr>
      <t>►</t>
    </r>
    <r>
      <rPr>
        <b/>
        <sz val="11"/>
        <color theme="1"/>
        <rFont val="游ゴシック"/>
        <family val="3"/>
        <charset val="128"/>
        <scheme val="minor"/>
      </rPr>
      <t>再編時のコスト推計結果は次の通りです</t>
    </r>
    <rPh sb="1" eb="4">
      <t>サイヘンジ</t>
    </rPh>
    <rPh sb="8" eb="12">
      <t>スイケイケッカ</t>
    </rPh>
    <rPh sb="13" eb="14">
      <t>ツギ</t>
    </rPh>
    <rPh sb="15" eb="16">
      <t>トオ</t>
    </rPh>
    <phoneticPr fontId="1"/>
  </si>
  <si>
    <t>上水道・簡易水道への合併・経営統合時のランニングコスト</t>
    <rPh sb="0" eb="3">
      <t>ジョウスイドウ</t>
    </rPh>
    <rPh sb="4" eb="8">
      <t>カンイスイドウ</t>
    </rPh>
    <rPh sb="10" eb="12">
      <t>ガッペイ</t>
    </rPh>
    <rPh sb="13" eb="17">
      <t>ケイエイトウゴウ</t>
    </rPh>
    <rPh sb="17" eb="18">
      <t>ジ</t>
    </rPh>
    <phoneticPr fontId="1"/>
  </si>
  <si>
    <t>管路（送／配水管1）</t>
    <rPh sb="0" eb="2">
      <t>カンロ</t>
    </rPh>
    <rPh sb="3" eb="4">
      <t>ソウ</t>
    </rPh>
    <rPh sb="5" eb="8">
      <t>ハイスイカン</t>
    </rPh>
    <phoneticPr fontId="1"/>
  </si>
  <si>
    <t>管路（送／配水管2）</t>
    <rPh sb="0" eb="2">
      <t>カンロ</t>
    </rPh>
    <rPh sb="3" eb="4">
      <t>ソウ</t>
    </rPh>
    <rPh sb="5" eb="8">
      <t>ハイスイカン</t>
    </rPh>
    <phoneticPr fontId="1"/>
  </si>
  <si>
    <t>管路（送／配水管3）</t>
    <rPh sb="0" eb="2">
      <t>カンロ</t>
    </rPh>
    <rPh sb="3" eb="4">
      <t>ソウ</t>
    </rPh>
    <rPh sb="5" eb="8">
      <t>ハイスイカン</t>
    </rPh>
    <phoneticPr fontId="1"/>
  </si>
  <si>
    <t>・初期コストは，当該地域全体における井戸設置費用の合計を算出しています．個別の井戸設置費用は掘削条件等により異なります．</t>
    <rPh sb="1" eb="3">
      <t>ショキ</t>
    </rPh>
    <rPh sb="8" eb="10">
      <t>トウガイ</t>
    </rPh>
    <rPh sb="10" eb="12">
      <t>チイキ</t>
    </rPh>
    <rPh sb="12" eb="14">
      <t>ゼンタイ</t>
    </rPh>
    <rPh sb="18" eb="20">
      <t>イド</t>
    </rPh>
    <rPh sb="20" eb="22">
      <t>セッチ</t>
    </rPh>
    <rPh sb="22" eb="24">
      <t>ヒヨウ</t>
    </rPh>
    <rPh sb="25" eb="27">
      <t>ゴウケイ</t>
    </rPh>
    <rPh sb="28" eb="30">
      <t>サンシュツ</t>
    </rPh>
    <rPh sb="36" eb="38">
      <t>コベツ</t>
    </rPh>
    <rPh sb="39" eb="41">
      <t>イド</t>
    </rPh>
    <rPh sb="41" eb="43">
      <t>セッチ</t>
    </rPh>
    <rPh sb="43" eb="45">
      <t>ヒヨウ</t>
    </rPh>
    <rPh sb="46" eb="48">
      <t>クッサク</t>
    </rPh>
    <rPh sb="48" eb="50">
      <t>ジョウケン</t>
    </rPh>
    <rPh sb="50" eb="51">
      <t>トウ</t>
    </rPh>
    <rPh sb="54" eb="55">
      <t>コト</t>
    </rPh>
    <phoneticPr fontId="1"/>
  </si>
  <si>
    <t>再編方式</t>
    <rPh sb="0" eb="2">
      <t>サイヘン</t>
    </rPh>
    <rPh sb="2" eb="4">
      <t>ホウシキ</t>
    </rPh>
    <phoneticPr fontId="1"/>
  </si>
  <si>
    <t>【直近の簡易水道へ接続する】
簡易水道エリアから新規に管路敷設，配水池を新設．配水管は主に既設を利用</t>
    <rPh sb="1" eb="3">
      <t>チョッキン</t>
    </rPh>
    <rPh sb="4" eb="8">
      <t>カンイスイドウ</t>
    </rPh>
    <rPh sb="9" eb="11">
      <t>セツゾク</t>
    </rPh>
    <rPh sb="15" eb="19">
      <t>カンイスイドウ</t>
    </rPh>
    <rPh sb="24" eb="26">
      <t>シンキ</t>
    </rPh>
    <rPh sb="27" eb="29">
      <t>カンロ</t>
    </rPh>
    <rPh sb="29" eb="31">
      <t>フセツ</t>
    </rPh>
    <rPh sb="32" eb="35">
      <t>ハイスイチ</t>
    </rPh>
    <rPh sb="36" eb="38">
      <t>シンセツ</t>
    </rPh>
    <rPh sb="39" eb="42">
      <t>ハイスイカン</t>
    </rPh>
    <rPh sb="43" eb="44">
      <t>オモ</t>
    </rPh>
    <rPh sb="45" eb="47">
      <t>キセツ</t>
    </rPh>
    <rPh sb="48" eb="50">
      <t>リヨウ</t>
    </rPh>
    <phoneticPr fontId="1"/>
  </si>
  <si>
    <t>【各戸に個別の井戸を新設する】
水資源Naviを参考にして，各戸の位置（地下水の条件）に応じて井戸仕様を選定</t>
    <rPh sb="1" eb="3">
      <t>カッコ</t>
    </rPh>
    <rPh sb="4" eb="6">
      <t>コベツ</t>
    </rPh>
    <rPh sb="7" eb="9">
      <t>イド</t>
    </rPh>
    <rPh sb="10" eb="12">
      <t>シンセツ</t>
    </rPh>
    <rPh sb="16" eb="19">
      <t>ミズシゲン</t>
    </rPh>
    <rPh sb="24" eb="26">
      <t>サンコウ</t>
    </rPh>
    <rPh sb="30" eb="32">
      <t>カクコ</t>
    </rPh>
    <rPh sb="33" eb="35">
      <t>イチ</t>
    </rPh>
    <rPh sb="36" eb="39">
      <t>チカスイ</t>
    </rPh>
    <rPh sb="40" eb="42">
      <t>ジョウケン</t>
    </rPh>
    <rPh sb="44" eb="45">
      <t>オウ</t>
    </rPh>
    <rPh sb="47" eb="49">
      <t>イド</t>
    </rPh>
    <rPh sb="49" eb="51">
      <t>シヨウ</t>
    </rPh>
    <rPh sb="52" eb="54">
      <t>センテイ</t>
    </rPh>
    <phoneticPr fontId="1"/>
  </si>
  <si>
    <t>補足情報</t>
    <rPh sb="0" eb="4">
      <t>ホソクジョウホウ</t>
    </rPh>
    <phoneticPr fontId="1"/>
  </si>
  <si>
    <t>【水源を表流水に変更する】
取水：浄水設備までポンプアップ
浄水：簡易ろ過と塩素消毒
配水：ポンプ＋配水池を新設
管路：導水管と送水管を新規敷設し，配水管は主に既設を利用</t>
    <rPh sb="1" eb="3">
      <t>スイゲン</t>
    </rPh>
    <rPh sb="4" eb="7">
      <t>ヒョウリュウスイ</t>
    </rPh>
    <rPh sb="8" eb="10">
      <t>ヘンコウ</t>
    </rPh>
    <rPh sb="14" eb="16">
      <t>シュスイ</t>
    </rPh>
    <rPh sb="17" eb="21">
      <t>ジョウスイセツビ</t>
    </rPh>
    <rPh sb="30" eb="32">
      <t>ジョウスイ</t>
    </rPh>
    <rPh sb="33" eb="35">
      <t>カンイ</t>
    </rPh>
    <rPh sb="36" eb="37">
      <t>カ</t>
    </rPh>
    <rPh sb="38" eb="42">
      <t>エンソショウドク</t>
    </rPh>
    <rPh sb="43" eb="45">
      <t>ハイスイ</t>
    </rPh>
    <rPh sb="50" eb="53">
      <t>ハイスイチ</t>
    </rPh>
    <rPh sb="54" eb="56">
      <t>シンセツ</t>
    </rPh>
    <rPh sb="57" eb="59">
      <t>カンロ</t>
    </rPh>
    <rPh sb="60" eb="62">
      <t>ドウスイ</t>
    </rPh>
    <rPh sb="62" eb="63">
      <t>カン</t>
    </rPh>
    <rPh sb="64" eb="67">
      <t>ソウスイカン</t>
    </rPh>
    <rPh sb="68" eb="72">
      <t>シンキフセツ</t>
    </rPh>
    <rPh sb="74" eb="77">
      <t>ハイスイカン</t>
    </rPh>
    <rPh sb="78" eb="79">
      <t>オモ</t>
    </rPh>
    <rPh sb="80" eb="82">
      <t>キセツ</t>
    </rPh>
    <rPh sb="83" eb="85">
      <t>リヨウ</t>
    </rPh>
    <phoneticPr fontId="1"/>
  </si>
  <si>
    <t>湧水を無処理，自然流下で配水するシステム
水源の水量低下に伴い再編を検討</t>
    <rPh sb="0" eb="2">
      <t>ユウスイ</t>
    </rPh>
    <rPh sb="3" eb="6">
      <t>ムショリ</t>
    </rPh>
    <rPh sb="7" eb="11">
      <t>シゼンリュウカ</t>
    </rPh>
    <rPh sb="12" eb="14">
      <t>ハイスイ</t>
    </rPh>
    <rPh sb="21" eb="23">
      <t>スイゲン</t>
    </rPh>
    <rPh sb="24" eb="26">
      <t>スイリョウ</t>
    </rPh>
    <rPh sb="26" eb="28">
      <t>テイカ</t>
    </rPh>
    <rPh sb="29" eb="30">
      <t>トモナ</t>
    </rPh>
    <rPh sb="31" eb="33">
      <t>サイヘン</t>
    </rPh>
    <rPh sb="34" eb="36">
      <t>ケントウ</t>
    </rPh>
    <phoneticPr fontId="1"/>
  </si>
  <si>
    <t>シナリオ比較表</t>
    <rPh sb="4" eb="7">
      <t>ヒカクヒョウ</t>
    </rPh>
    <phoneticPr fontId="1"/>
  </si>
  <si>
    <t>初期コスト内訳</t>
    <rPh sb="0" eb="2">
      <t>ショキ</t>
    </rPh>
    <rPh sb="5" eb="7">
      <t>ウチワケ</t>
    </rPh>
    <phoneticPr fontId="1"/>
  </si>
  <si>
    <t>その他（地域自律管理型）</t>
    <rPh sb="2" eb="3">
      <t>タ</t>
    </rPh>
    <rPh sb="4" eb="6">
      <t>チイキ</t>
    </rPh>
    <rPh sb="6" eb="8">
      <t>ジリツ</t>
    </rPh>
    <rPh sb="8" eb="10">
      <t>カンリ</t>
    </rPh>
    <rPh sb="10" eb="11">
      <t>ガタ</t>
    </rPh>
    <phoneticPr fontId="1"/>
  </si>
  <si>
    <t>水インフラ運営・再編支援システム</t>
    <rPh sb="0" eb="1">
      <t>ミズ</t>
    </rPh>
    <rPh sb="5" eb="7">
      <t>ウンエイ</t>
    </rPh>
    <rPh sb="8" eb="10">
      <t>サイヘン</t>
    </rPh>
    <rPh sb="10" eb="12">
      <t>シエン</t>
    </rPh>
    <phoneticPr fontId="1"/>
  </si>
  <si>
    <r>
      <rPr>
        <b/>
        <sz val="11"/>
        <color theme="1"/>
        <rFont val="Segoe UI Symbol"/>
        <family val="3"/>
      </rPr>
      <t>►</t>
    </r>
    <r>
      <rPr>
        <b/>
        <sz val="11"/>
        <color theme="1"/>
        <rFont val="游ゴシック"/>
        <family val="3"/>
        <charset val="128"/>
        <scheme val="minor"/>
      </rPr>
      <t>本システムについて</t>
    </r>
    <rPh sb="1" eb="2">
      <t>ホン</t>
    </rPh>
    <phoneticPr fontId="1"/>
  </si>
  <si>
    <r>
      <rPr>
        <b/>
        <sz val="11"/>
        <color theme="1"/>
        <rFont val="Segoe UI Symbol"/>
        <family val="3"/>
      </rPr>
      <t>►</t>
    </r>
    <r>
      <rPr>
        <b/>
        <sz val="11"/>
        <color theme="1"/>
        <rFont val="游ゴシック"/>
        <family val="3"/>
        <charset val="128"/>
      </rPr>
      <t>手順</t>
    </r>
    <rPh sb="1" eb="3">
      <t>テジュン</t>
    </rPh>
    <phoneticPr fontId="1"/>
  </si>
  <si>
    <r>
      <rPr>
        <b/>
        <sz val="11"/>
        <color theme="1"/>
        <rFont val="Segoe UI Symbol"/>
        <family val="3"/>
      </rPr>
      <t>►</t>
    </r>
    <r>
      <rPr>
        <b/>
        <sz val="11"/>
        <color theme="1"/>
        <rFont val="游ゴシック"/>
        <family val="3"/>
        <charset val="128"/>
      </rPr>
      <t>リンク</t>
    </r>
    <phoneticPr fontId="1"/>
  </si>
  <si>
    <t>https://aaaaaa</t>
    <phoneticPr fontId="1"/>
  </si>
  <si>
    <t>・検討方針を入力して下さい．その他の項目は，各シナリオシート入力後に自動表示されます．</t>
    <rPh sb="1" eb="5">
      <t>ケントウホウシン</t>
    </rPh>
    <rPh sb="6" eb="8">
      <t>ニュウリョク</t>
    </rPh>
    <rPh sb="10" eb="11">
      <t>クダ</t>
    </rPh>
    <rPh sb="16" eb="17">
      <t>タ</t>
    </rPh>
    <rPh sb="18" eb="20">
      <t>コウモク</t>
    </rPh>
    <rPh sb="22" eb="23">
      <t>カク</t>
    </rPh>
    <rPh sb="30" eb="33">
      <t>ニュウリョクゴ</t>
    </rPh>
    <rPh sb="34" eb="38">
      <t>ジドウヒョウジ</t>
    </rPh>
    <phoneticPr fontId="1"/>
  </si>
  <si>
    <t>シナリオ設定ガイド</t>
    <rPh sb="4" eb="6">
      <t>セッテイ</t>
    </rPh>
    <phoneticPr fontId="1"/>
  </si>
  <si>
    <t>・”シナリオ設定ガイド”を参考にして，再編シナリオの選択肢を考えてください．可能であれば複数シナリオを挙げてください．</t>
    <rPh sb="6" eb="8">
      <t>セッテイ</t>
    </rPh>
    <rPh sb="13" eb="15">
      <t>サンコウ</t>
    </rPh>
    <rPh sb="19" eb="21">
      <t>サイヘン</t>
    </rPh>
    <rPh sb="26" eb="29">
      <t>センタクシ</t>
    </rPh>
    <rPh sb="30" eb="31">
      <t>カンガ</t>
    </rPh>
    <rPh sb="38" eb="40">
      <t>カノウ</t>
    </rPh>
    <rPh sb="44" eb="46">
      <t>フクスウ</t>
    </rPh>
    <rPh sb="51" eb="52">
      <t>ア</t>
    </rPh>
    <phoneticPr fontId="1"/>
  </si>
  <si>
    <t>本システムは各シナリオの費用の目安を算出し，シナリオ間の差異を比較する目的で作成されています．</t>
    <rPh sb="0" eb="1">
      <t>ホン</t>
    </rPh>
    <rPh sb="6" eb="7">
      <t>カク</t>
    </rPh>
    <rPh sb="12" eb="14">
      <t>ヒヨウ</t>
    </rPh>
    <rPh sb="15" eb="17">
      <t>メヤス</t>
    </rPh>
    <rPh sb="18" eb="20">
      <t>サンシュツ</t>
    </rPh>
    <rPh sb="26" eb="27">
      <t>カン</t>
    </rPh>
    <rPh sb="28" eb="30">
      <t>サイ</t>
    </rPh>
    <rPh sb="31" eb="33">
      <t>ヒカク</t>
    </rPh>
    <rPh sb="35" eb="37">
      <t>モクテキ</t>
    </rPh>
    <rPh sb="38" eb="40">
      <t>サクセイ</t>
    </rPh>
    <phoneticPr fontId="1"/>
  </si>
  <si>
    <t>算出された費用はあくまでも推計値であり，実際に必要な費用と異なる場合があります．詳細な検討を進める際は，別途見積等を取得することをお勧めします．</t>
    <rPh sb="0" eb="2">
      <t>サンシュツ</t>
    </rPh>
    <rPh sb="5" eb="7">
      <t>ヒヨウ</t>
    </rPh>
    <rPh sb="13" eb="15">
      <t>スイケイ</t>
    </rPh>
    <rPh sb="15" eb="16">
      <t>チ</t>
    </rPh>
    <rPh sb="20" eb="22">
      <t>ジッサイ</t>
    </rPh>
    <rPh sb="23" eb="25">
      <t>ヒツヨウ</t>
    </rPh>
    <rPh sb="26" eb="28">
      <t>ヒヨウ</t>
    </rPh>
    <rPh sb="29" eb="30">
      <t>コト</t>
    </rPh>
    <rPh sb="32" eb="34">
      <t>バアイ</t>
    </rPh>
    <rPh sb="40" eb="42">
      <t>ショウサイ</t>
    </rPh>
    <rPh sb="46" eb="47">
      <t>スス</t>
    </rPh>
    <rPh sb="49" eb="50">
      <t>サイ</t>
    </rPh>
    <phoneticPr fontId="1"/>
  </si>
  <si>
    <r>
      <rPr>
        <b/>
        <sz val="11"/>
        <color theme="1"/>
        <rFont val="Segoe UI Symbol"/>
        <family val="3"/>
      </rPr>
      <t>►</t>
    </r>
    <r>
      <rPr>
        <b/>
        <sz val="11"/>
        <color theme="1"/>
        <rFont val="游ゴシック"/>
        <family val="3"/>
        <charset val="128"/>
        <scheme val="minor"/>
      </rPr>
      <t>利用上の諸注意</t>
    </r>
    <rPh sb="1" eb="4">
      <t>リヨウジョウ</t>
    </rPh>
    <rPh sb="5" eb="8">
      <t>ショチュウイ</t>
    </rPh>
    <phoneticPr fontId="1"/>
  </si>
  <si>
    <r>
      <t>取水設備2</t>
    </r>
    <r>
      <rPr>
        <b/>
        <vertAlign val="superscript"/>
        <sz val="11"/>
        <color theme="1"/>
        <rFont val="游ゴシック"/>
        <family val="3"/>
        <charset val="128"/>
        <scheme val="minor"/>
      </rPr>
      <t>※</t>
    </r>
    <rPh sb="0" eb="2">
      <t>シュスイ</t>
    </rPh>
    <rPh sb="2" eb="4">
      <t>セツビ</t>
    </rPh>
    <phoneticPr fontId="1"/>
  </si>
  <si>
    <r>
      <t>浄水設備2</t>
    </r>
    <r>
      <rPr>
        <b/>
        <vertAlign val="superscript"/>
        <sz val="11"/>
        <color theme="1"/>
        <rFont val="游ゴシック"/>
        <family val="3"/>
        <charset val="128"/>
        <scheme val="minor"/>
      </rPr>
      <t>※</t>
    </r>
    <rPh sb="0" eb="2">
      <t>ジョウスイ</t>
    </rPh>
    <rPh sb="2" eb="4">
      <t>セツビ</t>
    </rPh>
    <phoneticPr fontId="1"/>
  </si>
  <si>
    <r>
      <t>送水ポンプ2</t>
    </r>
    <r>
      <rPr>
        <b/>
        <vertAlign val="superscript"/>
        <sz val="11"/>
        <color theme="1"/>
        <rFont val="游ゴシック"/>
        <family val="3"/>
        <charset val="128"/>
        <scheme val="minor"/>
      </rPr>
      <t>※</t>
    </r>
    <rPh sb="0" eb="2">
      <t>ソウスイ</t>
    </rPh>
    <phoneticPr fontId="1"/>
  </si>
  <si>
    <r>
      <t>配水池2</t>
    </r>
    <r>
      <rPr>
        <b/>
        <vertAlign val="superscript"/>
        <sz val="11"/>
        <color theme="1"/>
        <rFont val="游ゴシック"/>
        <family val="3"/>
        <charset val="128"/>
        <scheme val="minor"/>
      </rPr>
      <t>※</t>
    </r>
    <phoneticPr fontId="1"/>
  </si>
  <si>
    <t>・xlsx化，分散型井戸シナリオ対応
・メイン，シナリオ，デモシートのフォント・レイアウト変更
・はじめに，ガイドのシートを追加
・入力セルのみセルロックを外す（シートの保護はデモシートのみ実行（パスワード：CJKS）</t>
    <rPh sb="5" eb="6">
      <t>カ</t>
    </rPh>
    <rPh sb="7" eb="12">
      <t>ブンサンガタイド</t>
    </rPh>
    <rPh sb="16" eb="18">
      <t>タイオウ</t>
    </rPh>
    <rPh sb="45" eb="47">
      <t>ヘンコウ</t>
    </rPh>
    <rPh sb="62" eb="64">
      <t>ツイカ</t>
    </rPh>
    <rPh sb="66" eb="68">
      <t>ニュウリョク</t>
    </rPh>
    <rPh sb="78" eb="79">
      <t>ハズ</t>
    </rPh>
    <rPh sb="85" eb="87">
      <t>ホゴ</t>
    </rPh>
    <rPh sb="95" eb="97">
      <t>ジッコウ</t>
    </rPh>
    <phoneticPr fontId="1"/>
  </si>
  <si>
    <t>メモ</t>
    <phoneticPr fontId="1"/>
  </si>
  <si>
    <t>リリース版の仕様
・Ver.2.0とする
・シート名は日本語（伝わりやすい表記にする）
・入力/選択セル以外はセルロックをかける
・計算部など不要な行列やシートは非表示にする
・シートを保護して編集不可にする</t>
    <rPh sb="4" eb="5">
      <t>バン</t>
    </rPh>
    <rPh sb="6" eb="8">
      <t>シヨウ</t>
    </rPh>
    <rPh sb="25" eb="26">
      <t>メイ</t>
    </rPh>
    <rPh sb="27" eb="30">
      <t>ニホンゴ</t>
    </rPh>
    <rPh sb="31" eb="32">
      <t>ツタ</t>
    </rPh>
    <rPh sb="37" eb="39">
      <t>ヒョウキ</t>
    </rPh>
    <rPh sb="45" eb="47">
      <t>ニュウリョク</t>
    </rPh>
    <rPh sb="48" eb="50">
      <t>センタク</t>
    </rPh>
    <rPh sb="52" eb="54">
      <t>イガイ</t>
    </rPh>
    <rPh sb="66" eb="68">
      <t>ケイサン</t>
    </rPh>
    <rPh sb="68" eb="69">
      <t>ブ</t>
    </rPh>
    <rPh sb="71" eb="73">
      <t>フヨウ</t>
    </rPh>
    <rPh sb="74" eb="76">
      <t>ギョウレツ</t>
    </rPh>
    <rPh sb="81" eb="84">
      <t>ヒヒョウジ</t>
    </rPh>
    <rPh sb="93" eb="95">
      <t>ホゴ</t>
    </rPh>
    <rPh sb="97" eb="99">
      <t>ヘンシュウ</t>
    </rPh>
    <rPh sb="99" eb="101">
      <t>フカ</t>
    </rPh>
    <phoneticPr fontId="1"/>
  </si>
  <si>
    <t>配管単価を積算システムベースに変更，水道の規模に応じて選択できる種別を制限するように変更
・急速ろ過装置のスペック
・水源の選択欄が7つあったのを4つに変更</t>
    <rPh sb="0" eb="2">
      <t>ハイカン</t>
    </rPh>
    <rPh sb="2" eb="4">
      <t>タンカ</t>
    </rPh>
    <rPh sb="5" eb="7">
      <t>セキサン</t>
    </rPh>
    <rPh sb="15" eb="17">
      <t>ヘンコウ</t>
    </rPh>
    <rPh sb="18" eb="20">
      <t>スイドウ</t>
    </rPh>
    <rPh sb="21" eb="23">
      <t>キボ</t>
    </rPh>
    <rPh sb="24" eb="25">
      <t>オウ</t>
    </rPh>
    <rPh sb="27" eb="29">
      <t>センタク</t>
    </rPh>
    <rPh sb="32" eb="34">
      <t>シュベツ</t>
    </rPh>
    <rPh sb="35" eb="37">
      <t>セイゲン</t>
    </rPh>
    <rPh sb="42" eb="44">
      <t>ヘンコウ</t>
    </rPh>
    <phoneticPr fontId="1"/>
  </si>
  <si>
    <t>・ランニングコストの計算をRCシートからScinarioシートに変更
・シナリオを3通り設定し，Mainシートで比較できるように変更</t>
    <rPh sb="10" eb="12">
      <t>ケイサン</t>
    </rPh>
    <rPh sb="32" eb="34">
      <t>ヘンコウ</t>
    </rPh>
    <phoneticPr fontId="1"/>
  </si>
  <si>
    <t>年間コスト（当該地域）</t>
    <rPh sb="0" eb="2">
      <t>ネンカン</t>
    </rPh>
    <rPh sb="6" eb="10">
      <t>トウガイチイキ</t>
    </rPh>
    <phoneticPr fontId="1"/>
  </si>
  <si>
    <t>年間コスト（事業全体）</t>
    <rPh sb="0" eb="2">
      <t>ネンカン</t>
    </rPh>
    <rPh sb="6" eb="10">
      <t>ジギョウゼンタイ</t>
    </rPh>
    <phoneticPr fontId="1"/>
  </si>
  <si>
    <t>年間コスト（事業全体）
[千円／年]</t>
    <rPh sb="0" eb="2">
      <t>ネンカン</t>
    </rPh>
    <rPh sb="6" eb="10">
      <t>ジギョウゼンタイ</t>
    </rPh>
    <rPh sb="13" eb="15">
      <t>センエン</t>
    </rPh>
    <rPh sb="16" eb="17">
      <t>ネン</t>
    </rPh>
    <phoneticPr fontId="1"/>
  </si>
  <si>
    <t>年間コスト（当該地域）
[千円／年]</t>
    <rPh sb="0" eb="2">
      <t>ネンカン</t>
    </rPh>
    <rPh sb="6" eb="10">
      <t>トウガイチイキ</t>
    </rPh>
    <phoneticPr fontId="1"/>
  </si>
  <si>
    <t>検討方針</t>
    <rPh sb="0" eb="2">
      <t>ケントウ</t>
    </rPh>
    <rPh sb="2" eb="4">
      <t>ホウシン</t>
    </rPh>
    <phoneticPr fontId="1"/>
  </si>
  <si>
    <t>千円</t>
    <rPh sb="0" eb="2">
      <t>センエン</t>
    </rPh>
    <phoneticPr fontId="1"/>
  </si>
  <si>
    <t>千円／年</t>
    <rPh sb="0" eb="2">
      <t>センエン</t>
    </rPh>
    <rPh sb="3" eb="4">
      <t>ネン</t>
    </rPh>
    <phoneticPr fontId="1"/>
  </si>
  <si>
    <t>初期コスト</t>
    <rPh sb="0" eb="2">
      <t>ショキ</t>
    </rPh>
    <phoneticPr fontId="1"/>
  </si>
  <si>
    <t>　管路1</t>
    <rPh sb="1" eb="3">
      <t>カンロ</t>
    </rPh>
    <phoneticPr fontId="1"/>
  </si>
  <si>
    <t>　管路2</t>
    <rPh sb="1" eb="3">
      <t>カンロ</t>
    </rPh>
    <phoneticPr fontId="1"/>
  </si>
  <si>
    <t>　管路3</t>
    <rPh sb="1" eb="3">
      <t>カンロ</t>
    </rPh>
    <phoneticPr fontId="1"/>
  </si>
  <si>
    <t>　管路4</t>
    <rPh sb="1" eb="3">
      <t>カンロ</t>
    </rPh>
    <phoneticPr fontId="1"/>
  </si>
  <si>
    <t>1．現状の事業について入力完了した</t>
    <rPh sb="2" eb="4">
      <t>ゲンジョウ</t>
    </rPh>
    <rPh sb="5" eb="7">
      <t>ジギョウ</t>
    </rPh>
    <rPh sb="11" eb="13">
      <t>ニュウリョク</t>
    </rPh>
    <rPh sb="13" eb="15">
      <t>カンリョウ</t>
    </rPh>
    <phoneticPr fontId="1"/>
  </si>
  <si>
    <t>2．再編シナリオについて入力完了した</t>
    <rPh sb="2" eb="4">
      <t>サイヘン</t>
    </rPh>
    <rPh sb="12" eb="14">
      <t>ニュウリョク</t>
    </rPh>
    <rPh sb="14" eb="16">
      <t>カンリョウ</t>
    </rPh>
    <phoneticPr fontId="1"/>
  </si>
  <si>
    <t>入力が完了したらチェックボックスをオンにしてください．</t>
    <rPh sb="3" eb="5">
      <t>カンリョウ</t>
    </rPh>
    <phoneticPr fontId="1"/>
  </si>
  <si>
    <t>入力する欄</t>
    <rPh sb="0" eb="2">
      <t>ニュウリョク</t>
    </rPh>
    <rPh sb="4" eb="5">
      <t>ラン</t>
    </rPh>
    <phoneticPr fontId="1"/>
  </si>
  <si>
    <t>入力が不要な欄</t>
    <rPh sb="0" eb="2">
      <t>ニュウリョク</t>
    </rPh>
    <rPh sb="3" eb="5">
      <t>フヨウ</t>
    </rPh>
    <rPh sb="6" eb="7">
      <t>ラン</t>
    </rPh>
    <phoneticPr fontId="1"/>
  </si>
  <si>
    <t>黄色で表示されている欄に入力してください．</t>
    <rPh sb="3" eb="5">
      <t>ヒョウジ</t>
    </rPh>
    <phoneticPr fontId="1"/>
  </si>
  <si>
    <t>●入力上の留意点</t>
    <rPh sb="1" eb="4">
      <t>ニュウリョクジョウ</t>
    </rPh>
    <rPh sb="5" eb="8">
      <t>リュウイテン</t>
    </rPh>
    <phoneticPr fontId="1"/>
  </si>
  <si>
    <r>
      <rPr>
        <b/>
        <sz val="11"/>
        <color theme="1"/>
        <rFont val="Segoe UI Symbol"/>
        <family val="3"/>
      </rPr>
      <t>►</t>
    </r>
    <r>
      <rPr>
        <b/>
        <sz val="11"/>
        <color theme="1"/>
        <rFont val="游ゴシック"/>
        <family val="3"/>
        <charset val="128"/>
        <scheme val="minor"/>
      </rPr>
      <t>実践ガイドを参照して現状分析をしてください</t>
    </r>
    <rPh sb="1" eb="3">
      <t>ジッセン</t>
    </rPh>
    <rPh sb="7" eb="9">
      <t>サンショウ</t>
    </rPh>
    <rPh sb="11" eb="13">
      <t>ゲンジョウ</t>
    </rPh>
    <rPh sb="13" eb="15">
      <t>ブンセキ</t>
    </rPh>
    <phoneticPr fontId="1"/>
  </si>
  <si>
    <t>分散型井戸</t>
    <rPh sb="0" eb="5">
      <t>ブンサンガタイド</t>
    </rPh>
    <phoneticPr fontId="1"/>
  </si>
  <si>
    <t>H30厚労省</t>
    <rPh sb="3" eb="6">
      <t>コウロウショウ</t>
    </rPh>
    <phoneticPr fontId="1"/>
  </si>
  <si>
    <t>戸</t>
    <rPh sb="0" eb="1">
      <t>コ</t>
    </rPh>
    <phoneticPr fontId="1"/>
  </si>
  <si>
    <t>　共同井戸を利用する総戸数</t>
    <rPh sb="1" eb="5">
      <t>キョウドウイド</t>
    </rPh>
    <rPh sb="6" eb="8">
      <t>リヨウ</t>
    </rPh>
    <rPh sb="10" eb="11">
      <t>ソウ</t>
    </rPh>
    <rPh sb="11" eb="13">
      <t>コスウ</t>
    </rPh>
    <phoneticPr fontId="1"/>
  </si>
  <si>
    <t>井戸の総本数</t>
    <rPh sb="0" eb="2">
      <t>イド</t>
    </rPh>
    <rPh sb="3" eb="4">
      <t>ソウ</t>
    </rPh>
    <rPh sb="4" eb="6">
      <t>ホンスウ</t>
    </rPh>
    <phoneticPr fontId="1"/>
  </si>
  <si>
    <t>井戸を利用する総戸数</t>
    <rPh sb="0" eb="2">
      <t>イド</t>
    </rPh>
    <rPh sb="3" eb="5">
      <t>リヨウ</t>
    </rPh>
    <rPh sb="7" eb="10">
      <t>ソウコスウ</t>
    </rPh>
    <phoneticPr fontId="1"/>
  </si>
  <si>
    <t>モデルケースについて試算</t>
    <rPh sb="10" eb="12">
      <t>シサン</t>
    </rPh>
    <phoneticPr fontId="1"/>
  </si>
  <si>
    <t>標準世帯人数</t>
    <rPh sb="0" eb="2">
      <t>ヒョウジュン</t>
    </rPh>
    <rPh sb="2" eb="4">
      <t>セタイ</t>
    </rPh>
    <rPh sb="4" eb="6">
      <t>ニンズウ</t>
    </rPh>
    <phoneticPr fontId="1"/>
  </si>
  <si>
    <t>水質検査費（円）</t>
    <rPh sb="0" eb="5">
      <t>スイシツケンサヒ</t>
    </rPh>
    <rPh sb="6" eb="7">
      <t>エン</t>
    </rPh>
    <phoneticPr fontId="1"/>
  </si>
  <si>
    <t>ポンプ電気代（円）</t>
    <rPh sb="3" eb="6">
      <t>デンキダイ</t>
    </rPh>
    <rPh sb="7" eb="8">
      <t>エン</t>
    </rPh>
    <phoneticPr fontId="1"/>
  </si>
  <si>
    <t>家庭での水使用量原単位</t>
    <rPh sb="0" eb="2">
      <t>カテイ</t>
    </rPh>
    <rPh sb="4" eb="8">
      <t>ミズシヨウリョウ</t>
    </rPh>
    <rPh sb="8" eb="11">
      <t>ゲンタンイ</t>
    </rPh>
    <phoneticPr fontId="1"/>
  </si>
  <si>
    <t>L/日/人</t>
    <rPh sb="2" eb="3">
      <t>ニチ</t>
    </rPh>
    <rPh sb="4" eb="5">
      <t>ヒト</t>
    </rPh>
    <phoneticPr fontId="1"/>
  </si>
  <si>
    <t>家庭蛇口水量</t>
    <rPh sb="0" eb="4">
      <t>カテイジャグチ</t>
    </rPh>
    <rPh sb="4" eb="6">
      <t>スイリョウ</t>
    </rPh>
    <phoneticPr fontId="1"/>
  </si>
  <si>
    <t>L/min</t>
    <phoneticPr fontId="1"/>
  </si>
  <si>
    <t>1日当たりポンプ稼働時間</t>
    <rPh sb="1" eb="3">
      <t>ニチア</t>
    </rPh>
    <rPh sb="8" eb="10">
      <t>カドウ</t>
    </rPh>
    <rPh sb="10" eb="12">
      <t>ジカン</t>
    </rPh>
    <phoneticPr fontId="1"/>
  </si>
  <si>
    <t>ポンプ出力</t>
    <rPh sb="3" eb="5">
      <t>シュツリョク</t>
    </rPh>
    <phoneticPr fontId="1"/>
  </si>
  <si>
    <t>W</t>
    <phoneticPr fontId="1"/>
  </si>
  <si>
    <t>ポンプ消費電力</t>
    <rPh sb="3" eb="7">
      <t>ショウヒデンリョク</t>
    </rPh>
    <phoneticPr fontId="1"/>
  </si>
  <si>
    <t>1戸当たり使用水量</t>
    <rPh sb="1" eb="3">
      <t>コア</t>
    </rPh>
    <rPh sb="5" eb="9">
      <t>シヨウスイリョウ</t>
    </rPh>
    <phoneticPr fontId="1"/>
  </si>
  <si>
    <t>L/日</t>
    <rPh sb="2" eb="3">
      <t>ニチ</t>
    </rPh>
    <phoneticPr fontId="1"/>
  </si>
  <si>
    <t>h/日</t>
    <rPh sb="2" eb="3">
      <t>ニチ</t>
    </rPh>
    <phoneticPr fontId="1"/>
  </si>
  <si>
    <t>ポンプ消費電力量</t>
    <rPh sb="3" eb="8">
      <t>ショウヒデンリョクリョウ</t>
    </rPh>
    <phoneticPr fontId="1"/>
  </si>
  <si>
    <t>年間消費電力量</t>
    <rPh sb="0" eb="2">
      <t>ネンカン</t>
    </rPh>
    <rPh sb="2" eb="7">
      <t>ショウヒデンリョクリョウ</t>
    </rPh>
    <phoneticPr fontId="1"/>
  </si>
  <si>
    <t>kWh</t>
    <phoneticPr fontId="1"/>
  </si>
  <si>
    <t>kWh/日</t>
    <rPh sb="4" eb="5">
      <t>ニチ</t>
    </rPh>
    <phoneticPr fontId="1"/>
  </si>
  <si>
    <t>円/kWh</t>
    <rPh sb="0" eb="1">
      <t>エン</t>
    </rPh>
    <phoneticPr fontId="1"/>
  </si>
  <si>
    <t>1戸あたり年間電気料金</t>
    <rPh sb="1" eb="2">
      <t>コ</t>
    </rPh>
    <rPh sb="5" eb="7">
      <t>ネンカン</t>
    </rPh>
    <rPh sb="7" eb="11">
      <t>デンキリョウキン</t>
    </rPh>
    <phoneticPr fontId="1"/>
  </si>
  <si>
    <t>資源エネルギー庁，2023</t>
    <rPh sb="0" eb="2">
      <t>シゲン</t>
    </rPh>
    <rPh sb="7" eb="8">
      <t>チョウ</t>
    </rPh>
    <phoneticPr fontId="1"/>
  </si>
  <si>
    <t>東京都水道局HP</t>
    <rPh sb="0" eb="3">
      <t>トウキョウト</t>
    </rPh>
    <rPh sb="3" eb="6">
      <t>スイドウキョク</t>
    </rPh>
    <phoneticPr fontId="1"/>
  </si>
  <si>
    <t>川本ポンプカタログ</t>
    <rPh sb="0" eb="2">
      <t>カワモト</t>
    </rPh>
    <phoneticPr fontId="1"/>
  </si>
  <si>
    <t>力率0.8</t>
    <rPh sb="0" eb="2">
      <t>リキリツ</t>
    </rPh>
    <phoneticPr fontId="1"/>
  </si>
  <si>
    <t>電気料金単価</t>
    <rPh sb="0" eb="2">
      <t>デンキ</t>
    </rPh>
    <rPh sb="2" eb="4">
      <t>リョウキン</t>
    </rPh>
    <rPh sb="4" eb="6">
      <t>タンカ</t>
    </rPh>
    <phoneticPr fontId="1"/>
  </si>
  <si>
    <t>日本のエネルギー2023年度版の2022年家庭用単価</t>
    <rPh sb="0" eb="2">
      <t>ニホン</t>
    </rPh>
    <rPh sb="12" eb="14">
      <t>ネンド</t>
    </rPh>
    <rPh sb="14" eb="15">
      <t>バン</t>
    </rPh>
    <rPh sb="20" eb="21">
      <t>ネン</t>
    </rPh>
    <rPh sb="21" eb="24">
      <t>カテイヨウ</t>
    </rPh>
    <rPh sb="24" eb="26">
      <t>タンカ</t>
    </rPh>
    <phoneticPr fontId="1"/>
  </si>
  <si>
    <t>https://www.enecho.meti.go.jp/about/pamphlet/energy2023/02.html</t>
    <phoneticPr fontId="1"/>
  </si>
  <si>
    <t>https://www.kawamoto.co.jp/data/catalog/35_domestic.pdf</t>
    <phoneticPr fontId="1"/>
  </si>
  <si>
    <t>https://www.waterworks.metro.tokyo.lg.jp/faq/qa-14.html#1</t>
    <phoneticPr fontId="1"/>
  </si>
  <si>
    <t>厚労省，2023</t>
    <rPh sb="0" eb="3">
      <t>コウロウショウ</t>
    </rPh>
    <phoneticPr fontId="1"/>
  </si>
  <si>
    <t>いま知りたい水道</t>
    <rPh sb="2" eb="3">
      <t>シ</t>
    </rPh>
    <rPh sb="6" eb="8">
      <t>スイドウ</t>
    </rPh>
    <phoneticPr fontId="1"/>
  </si>
  <si>
    <t>https://www.mhlw.go.jp/content/11130500/001076282.pdf</t>
    <phoneticPr fontId="1"/>
  </si>
  <si>
    <t>円/基</t>
    <rPh sb="0" eb="1">
      <t>エン</t>
    </rPh>
    <rPh sb="2" eb="3">
      <t>キ</t>
    </rPh>
    <phoneticPr fontId="1"/>
  </si>
  <si>
    <t>円/戸</t>
    <rPh sb="0" eb="1">
      <t>エン</t>
    </rPh>
    <rPh sb="2" eb="3">
      <t>コ</t>
    </rPh>
    <phoneticPr fontId="1"/>
  </si>
  <si>
    <t>・年間コストは，主に井戸ポンプの電気代と水質検査費用です．電気代は，標準的なポンプ仕様や水の使用量の場合を想定して算出し，当該地域分を合算して表示しています．</t>
    <rPh sb="1" eb="3">
      <t>ネンカン</t>
    </rPh>
    <rPh sb="10" eb="12">
      <t>イド</t>
    </rPh>
    <rPh sb="16" eb="19">
      <t>デンキダイ</t>
    </rPh>
    <rPh sb="20" eb="26">
      <t>スイシツケンサヒヨウ</t>
    </rPh>
    <rPh sb="34" eb="37">
      <t>ヒョウジュンテキ</t>
    </rPh>
    <rPh sb="41" eb="43">
      <t>シヨウ</t>
    </rPh>
    <rPh sb="44" eb="45">
      <t>ミズ</t>
    </rPh>
    <rPh sb="46" eb="49">
      <t>シヨウリョウ</t>
    </rPh>
    <rPh sb="50" eb="52">
      <t>バアイ</t>
    </rPh>
    <rPh sb="53" eb="55">
      <t>ソウテイ</t>
    </rPh>
    <rPh sb="57" eb="59">
      <t>サンシュツ</t>
    </rPh>
    <rPh sb="61" eb="66">
      <t>トウガイチイキブン</t>
    </rPh>
    <rPh sb="67" eb="69">
      <t>ガッサン</t>
    </rPh>
    <rPh sb="71" eb="73">
      <t>ヒョウジ</t>
    </rPh>
    <phoneticPr fontId="1"/>
  </si>
  <si>
    <t>関係者が地域の水インフラの維持再編を考える際などにお使いいただけます．</t>
    <phoneticPr fontId="1"/>
  </si>
  <si>
    <t>・”シナリオ1”のシートに現状の水道事業および検討する再編シナリオについて必要事項を入力してください．</t>
    <rPh sb="13" eb="15">
      <t>ゲンジョウ</t>
    </rPh>
    <rPh sb="16" eb="18">
      <t>スイドウ</t>
    </rPh>
    <rPh sb="18" eb="20">
      <t>ジギョウ</t>
    </rPh>
    <rPh sb="23" eb="25">
      <t>ケントウ</t>
    </rPh>
    <rPh sb="27" eb="29">
      <t>サイヘン</t>
    </rPh>
    <rPh sb="37" eb="39">
      <t>ヒツヨウ</t>
    </rPh>
    <rPh sb="39" eb="41">
      <t>ジコウ</t>
    </rPh>
    <rPh sb="42" eb="44">
      <t>ニュウリョク</t>
    </rPh>
    <phoneticPr fontId="1"/>
  </si>
  <si>
    <t>・”シナリオ2”および”シナリオ3”のシートに検討する再編シナリオについて各々必要事項を入力してください．</t>
    <rPh sb="23" eb="25">
      <t>ケントウ</t>
    </rPh>
    <rPh sb="27" eb="29">
      <t>サイヘン</t>
    </rPh>
    <rPh sb="37" eb="39">
      <t>オノオノ</t>
    </rPh>
    <rPh sb="39" eb="41">
      <t>ヒツヨウ</t>
    </rPh>
    <rPh sb="41" eb="43">
      <t>ジコウ</t>
    </rPh>
    <rPh sb="44" eb="46">
      <t>ニュウリョク</t>
    </rPh>
    <phoneticPr fontId="1"/>
  </si>
  <si>
    <t>・”比較評価”シートに各シナリオの初期コスト，再編後の運営コストの推計値が表示されます．数値を比較しながら再編方針の検討を進めてください．</t>
    <rPh sb="2" eb="6">
      <t>ヒカクヒョウカ</t>
    </rPh>
    <rPh sb="11" eb="12">
      <t>カク</t>
    </rPh>
    <rPh sb="17" eb="19">
      <t>ショキ</t>
    </rPh>
    <rPh sb="23" eb="26">
      <t>サイヘンゴ</t>
    </rPh>
    <rPh sb="27" eb="29">
      <t>ウンエイ</t>
    </rPh>
    <rPh sb="33" eb="35">
      <t>スイケイ</t>
    </rPh>
    <rPh sb="35" eb="36">
      <t>チ</t>
    </rPh>
    <rPh sb="37" eb="39">
      <t>ヒョウジ</t>
    </rPh>
    <rPh sb="44" eb="46">
      <t>スウチ</t>
    </rPh>
    <rPh sb="47" eb="49">
      <t>ヒカク</t>
    </rPh>
    <rPh sb="53" eb="55">
      <t>サイヘン</t>
    </rPh>
    <rPh sb="55" eb="57">
      <t>ホウシン</t>
    </rPh>
    <rPh sb="58" eb="60">
      <t>ケントウ</t>
    </rPh>
    <rPh sb="61" eb="62">
      <t>スス</t>
    </rPh>
    <phoneticPr fontId="1"/>
  </si>
  <si>
    <t>https://www.waterpartners.jp/0_format/00_frame.html</t>
    <phoneticPr fontId="1"/>
  </si>
  <si>
    <t>・法制度や水処理技術に関して網羅的に紹介するサイト｜水道技術経営パートナーズが運営する，水道技術や経営の情報サイト「狸の水呑場」</t>
    <rPh sb="1" eb="4">
      <t>ホウセイド</t>
    </rPh>
    <rPh sb="5" eb="6">
      <t>ミズ</t>
    </rPh>
    <rPh sb="6" eb="10">
      <t>ショリギジュツ</t>
    </rPh>
    <rPh sb="11" eb="12">
      <t>カン</t>
    </rPh>
    <rPh sb="14" eb="17">
      <t>モウラテキ</t>
    </rPh>
    <rPh sb="18" eb="20">
      <t>ショウカイ</t>
    </rPh>
    <rPh sb="26" eb="28">
      <t>スイドウ</t>
    </rPh>
    <rPh sb="28" eb="30">
      <t>ギジュツ</t>
    </rPh>
    <rPh sb="30" eb="32">
      <t>ケイエイ</t>
    </rPh>
    <rPh sb="39" eb="41">
      <t>ウンエイ</t>
    </rPh>
    <rPh sb="44" eb="46">
      <t>スイドウ</t>
    </rPh>
    <rPh sb="46" eb="48">
      <t>ギジュツ</t>
    </rPh>
    <rPh sb="49" eb="51">
      <t>ケイエイ</t>
    </rPh>
    <rPh sb="52" eb="54">
      <t>ジョウホウ</t>
    </rPh>
    <rPh sb="58" eb="59">
      <t>タヌキ</t>
    </rPh>
    <rPh sb="60" eb="62">
      <t>ミノミ</t>
    </rPh>
    <rPh sb="62" eb="63">
      <t>バ</t>
    </rPh>
    <phoneticPr fontId="1"/>
  </si>
  <si>
    <t>・地域の地下水や表流水に関する情報を視覚的に閲覧できるサイト｜水資源Navi（全道簡易版）</t>
    <rPh sb="1" eb="3">
      <t>チイキ</t>
    </rPh>
    <rPh sb="4" eb="7">
      <t>チカスイ</t>
    </rPh>
    <rPh sb="8" eb="11">
      <t>ヒョウリュウスイ</t>
    </rPh>
    <rPh sb="12" eb="13">
      <t>カン</t>
    </rPh>
    <rPh sb="15" eb="17">
      <t>ジョウホウ</t>
    </rPh>
    <rPh sb="18" eb="21">
      <t>シカクテキ</t>
    </rPh>
    <rPh sb="22" eb="24">
      <t>エツラン</t>
    </rPh>
    <rPh sb="31" eb="34">
      <t>ミズシゲン</t>
    </rPh>
    <rPh sb="39" eb="41">
      <t>ゼンドウ</t>
    </rPh>
    <rPh sb="41" eb="44">
      <t>カンイバン</t>
    </rPh>
    <phoneticPr fontId="1"/>
  </si>
  <si>
    <t>・本システムの紹介や現状分析の方法を記載したサイト｜実践ガイドウェブページ</t>
    <rPh sb="1" eb="2">
      <t>ホン</t>
    </rPh>
    <rPh sb="7" eb="9">
      <t>ショウカイ</t>
    </rPh>
    <rPh sb="10" eb="14">
      <t>ゲンジョウブンセキ</t>
    </rPh>
    <rPh sb="15" eb="17">
      <t>ホウホウ</t>
    </rPh>
    <rPh sb="18" eb="20">
      <t>キサイ</t>
    </rPh>
    <rPh sb="26" eb="28">
      <t>ジッセン</t>
    </rPh>
    <phoneticPr fontId="1"/>
  </si>
  <si>
    <t>・水資源Navi（全道簡易版）を利用して，地域の水源情報の確認や代替水源の検討をして下さい．</t>
    <rPh sb="1" eb="4">
      <t>ミズシゲン</t>
    </rPh>
    <rPh sb="9" eb="13">
      <t>ゼンドウカンイ</t>
    </rPh>
    <rPh sb="13" eb="14">
      <t>バン</t>
    </rPh>
    <rPh sb="16" eb="18">
      <t>リヨウ</t>
    </rPh>
    <rPh sb="21" eb="23">
      <t>チイキ</t>
    </rPh>
    <rPh sb="24" eb="28">
      <t>スイゲンジョウホウ</t>
    </rPh>
    <rPh sb="29" eb="31">
      <t>カクニン</t>
    </rPh>
    <rPh sb="32" eb="36">
      <t>ダイタイスイゲン</t>
    </rPh>
    <rPh sb="37" eb="39">
      <t>ケントウ</t>
    </rPh>
    <rPh sb="42" eb="43">
      <t>クダ</t>
    </rPh>
    <phoneticPr fontId="1"/>
  </si>
  <si>
    <t>・”比較評価”シートに現状の水道事業および各再編シナリオの検討方針を入力してください．</t>
    <rPh sb="2" eb="6">
      <t>ヒカクヒョウカ</t>
    </rPh>
    <rPh sb="11" eb="13">
      <t>ゲンジョウ</t>
    </rPh>
    <rPh sb="14" eb="16">
      <t>スイドウ</t>
    </rPh>
    <rPh sb="16" eb="18">
      <t>ジギョウ</t>
    </rPh>
    <rPh sb="21" eb="22">
      <t>カク</t>
    </rPh>
    <rPh sb="22" eb="24">
      <t>サイヘン</t>
    </rPh>
    <rPh sb="29" eb="31">
      <t>ケントウ</t>
    </rPh>
    <rPh sb="31" eb="33">
      <t>ホウシン</t>
    </rPh>
    <rPh sb="34" eb="36">
      <t>ニュウリョク</t>
    </rPh>
    <phoneticPr fontId="1"/>
  </si>
  <si>
    <t>シナリオシートに記入する際の留意点</t>
    <rPh sb="8" eb="10">
      <t>キニュウ</t>
    </rPh>
    <rPh sb="12" eb="13">
      <t>サイ</t>
    </rPh>
    <rPh sb="14" eb="17">
      <t>リュウイテン</t>
    </rPh>
    <phoneticPr fontId="1"/>
  </si>
  <si>
    <t>シナリオは3つまで比較評価できます．それより多くのシナリオを検討する際は，エクセルのワークブックをコピーして別ファイルで実施してください．</t>
    <rPh sb="9" eb="13">
      <t>ヒカクヒョウカ</t>
    </rPh>
    <rPh sb="22" eb="23">
      <t>オオ</t>
    </rPh>
    <rPh sb="30" eb="32">
      <t>ケントウ</t>
    </rPh>
    <rPh sb="34" eb="35">
      <t>サイ</t>
    </rPh>
    <rPh sb="54" eb="55">
      <t>ベツ</t>
    </rPh>
    <rPh sb="60" eb="62">
      <t>ジッシ</t>
    </rPh>
    <phoneticPr fontId="1"/>
  </si>
  <si>
    <t>　現状の水道が抱える問題点に対して，考えられるシナリオの選択肢や検討の手順を示しています．</t>
    <rPh sb="1" eb="3">
      <t>ゲンジョウ</t>
    </rPh>
    <rPh sb="4" eb="6">
      <t>スイドウ</t>
    </rPh>
    <rPh sb="7" eb="8">
      <t>カカ</t>
    </rPh>
    <rPh sb="10" eb="13">
      <t>モンダイテン</t>
    </rPh>
    <rPh sb="14" eb="15">
      <t>タイ</t>
    </rPh>
    <rPh sb="18" eb="19">
      <t>カンガ</t>
    </rPh>
    <rPh sb="28" eb="31">
      <t>センタクシ</t>
    </rPh>
    <rPh sb="32" eb="34">
      <t>ケントウ</t>
    </rPh>
    <rPh sb="35" eb="37">
      <t>テジュン</t>
    </rPh>
    <rPh sb="38" eb="39">
      <t>シメ</t>
    </rPh>
    <phoneticPr fontId="1"/>
  </si>
  <si>
    <t>管路</t>
    <rPh sb="0" eb="2">
      <t>カンロ</t>
    </rPh>
    <phoneticPr fontId="1"/>
  </si>
  <si>
    <t>管種・口径</t>
    <rPh sb="0" eb="2">
      <t>カンシュ</t>
    </rPh>
    <rPh sb="3" eb="5">
      <t>コウケイ</t>
    </rPh>
    <phoneticPr fontId="1"/>
  </si>
  <si>
    <t>管路の敷設単価</t>
    <rPh sb="0" eb="2">
      <t>カンロ</t>
    </rPh>
    <rPh sb="3" eb="5">
      <t>フセツ</t>
    </rPh>
    <rPh sb="5" eb="7">
      <t>タンカ</t>
    </rPh>
    <phoneticPr fontId="1"/>
  </si>
  <si>
    <t>仕様</t>
    <rPh sb="0" eb="2">
      <t>シヨウ</t>
    </rPh>
    <phoneticPr fontId="1"/>
  </si>
  <si>
    <t>単価（円/m）</t>
    <rPh sb="0" eb="2">
      <t>タンカ</t>
    </rPh>
    <rPh sb="3" eb="4">
      <t>エン</t>
    </rPh>
    <phoneticPr fontId="1"/>
  </si>
  <si>
    <t>・管路の敷設費用は，水道施設整備費に係る歩掛表における請負工事標準歩掛の積算基準を参考にしました．</t>
    <rPh sb="1" eb="3">
      <t>カンロ</t>
    </rPh>
    <rPh sb="4" eb="6">
      <t>フセツ</t>
    </rPh>
    <rPh sb="6" eb="8">
      <t>ヒヨウ</t>
    </rPh>
    <rPh sb="12" eb="16">
      <t>シセツセイビ</t>
    </rPh>
    <rPh sb="16" eb="17">
      <t>ヒ</t>
    </rPh>
    <rPh sb="18" eb="19">
      <t>カカ</t>
    </rPh>
    <rPh sb="20" eb="22">
      <t>ブガカリ</t>
    </rPh>
    <rPh sb="22" eb="23">
      <t>ヒョウ</t>
    </rPh>
    <rPh sb="27" eb="31">
      <t>ウケオイコウジ</t>
    </rPh>
    <rPh sb="31" eb="35">
      <t>ヒョウジュンブガカリ</t>
    </rPh>
    <rPh sb="36" eb="38">
      <t>セキサン</t>
    </rPh>
    <rPh sb="38" eb="40">
      <t>キジュン</t>
    </rPh>
    <rPh sb="41" eb="43">
      <t>サンコウ</t>
    </rPh>
    <phoneticPr fontId="1"/>
  </si>
  <si>
    <t>・市販の積算システムを用いて，管種・口径毎に単位長さ当たりの管敷設工事費用を算出し，経費率を乗じて単価を設定しました．</t>
    <rPh sb="1" eb="3">
      <t>シハン</t>
    </rPh>
    <rPh sb="4" eb="6">
      <t>セキサン</t>
    </rPh>
    <rPh sb="11" eb="12">
      <t>モチ</t>
    </rPh>
    <rPh sb="15" eb="17">
      <t>カンシュ</t>
    </rPh>
    <rPh sb="18" eb="20">
      <t>コウケイ</t>
    </rPh>
    <rPh sb="20" eb="21">
      <t>ゴト</t>
    </rPh>
    <rPh sb="22" eb="24">
      <t>タンイ</t>
    </rPh>
    <rPh sb="24" eb="25">
      <t>ナガ</t>
    </rPh>
    <rPh sb="26" eb="27">
      <t>ア</t>
    </rPh>
    <rPh sb="30" eb="35">
      <t>カンフセツコウジ</t>
    </rPh>
    <rPh sb="35" eb="37">
      <t>ヒヨウ</t>
    </rPh>
    <rPh sb="38" eb="40">
      <t>サンシュツ</t>
    </rPh>
    <rPh sb="42" eb="44">
      <t>ケイヒ</t>
    </rPh>
    <rPh sb="44" eb="45">
      <t>リツ</t>
    </rPh>
    <rPh sb="46" eb="47">
      <t>ジョウ</t>
    </rPh>
    <rPh sb="49" eb="51">
      <t>タンカ</t>
    </rPh>
    <rPh sb="52" eb="54">
      <t>セッテイ</t>
    </rPh>
    <phoneticPr fontId="1"/>
  </si>
  <si>
    <t>・地域の水インフラで主に使用される管種・口径を想定して以下の7パターンを選択肢にしました．</t>
    <rPh sb="1" eb="3">
      <t>チイキ</t>
    </rPh>
    <rPh sb="4" eb="5">
      <t>ミズ</t>
    </rPh>
    <rPh sb="10" eb="11">
      <t>オモ</t>
    </rPh>
    <rPh sb="12" eb="14">
      <t>シヨウ</t>
    </rPh>
    <rPh sb="17" eb="19">
      <t>カンシュ</t>
    </rPh>
    <rPh sb="20" eb="22">
      <t>コウケイ</t>
    </rPh>
    <rPh sb="23" eb="25">
      <t>ソウテイ</t>
    </rPh>
    <rPh sb="27" eb="29">
      <t>イカ</t>
    </rPh>
    <rPh sb="36" eb="39">
      <t>センタクシ</t>
    </rPh>
    <phoneticPr fontId="1"/>
  </si>
  <si>
    <t>・すべてのパターンで未舗装道路の開削工事を想定しています．</t>
    <phoneticPr fontId="1"/>
  </si>
  <si>
    <t>No.</t>
    <phoneticPr fontId="1"/>
  </si>
  <si>
    <t>備考</t>
    <rPh sb="0" eb="2">
      <t>ビコウ</t>
    </rPh>
    <phoneticPr fontId="1"/>
  </si>
  <si>
    <t>取水設備・浄水設備</t>
    <rPh sb="0" eb="2">
      <t>シュスイ</t>
    </rPh>
    <rPh sb="2" eb="4">
      <t>セツビ</t>
    </rPh>
    <rPh sb="5" eb="9">
      <t>ジョウスイセツビ</t>
    </rPh>
    <phoneticPr fontId="1"/>
  </si>
  <si>
    <t>送配水設備</t>
    <phoneticPr fontId="1"/>
  </si>
  <si>
    <t>・各パターンの費用は，各設備の費用を合計することで算出しています．</t>
    <rPh sb="1" eb="2">
      <t>カク</t>
    </rPh>
    <rPh sb="7" eb="9">
      <t>ヒヨウ</t>
    </rPh>
    <rPh sb="11" eb="12">
      <t>カク</t>
    </rPh>
    <rPh sb="12" eb="14">
      <t>セツビ</t>
    </rPh>
    <rPh sb="15" eb="17">
      <t>ヒヨウ</t>
    </rPh>
    <rPh sb="18" eb="20">
      <t>ゴウケイ</t>
    </rPh>
    <rPh sb="25" eb="27">
      <t>サンシュツ</t>
    </rPh>
    <phoneticPr fontId="1"/>
  </si>
  <si>
    <t>費用（円）</t>
    <rPh sb="0" eb="2">
      <t>ヒヨウ</t>
    </rPh>
    <rPh sb="3" eb="4">
      <t>エン</t>
    </rPh>
    <phoneticPr fontId="1"/>
  </si>
  <si>
    <t>取水設備の組み合わせパターンとその費用</t>
    <rPh sb="0" eb="4">
      <t>シュスイセツビ</t>
    </rPh>
    <rPh sb="5" eb="6">
      <t>ク</t>
    </rPh>
    <rPh sb="7" eb="8">
      <t>ア</t>
    </rPh>
    <rPh sb="17" eb="19">
      <t>ヒヨウ</t>
    </rPh>
    <phoneticPr fontId="1"/>
  </si>
  <si>
    <t>地下水位が高く（地上から7m以内），吸上げポンプで取水できる場合．掘削深度20m程度で必要水量を確保できる想定．</t>
    <rPh sb="0" eb="4">
      <t>チカスイイ</t>
    </rPh>
    <rPh sb="5" eb="6">
      <t>タカ</t>
    </rPh>
    <rPh sb="8" eb="10">
      <t>チジョウ</t>
    </rPh>
    <rPh sb="14" eb="16">
      <t>イナイ</t>
    </rPh>
    <rPh sb="18" eb="20">
      <t>スイア</t>
    </rPh>
    <rPh sb="25" eb="27">
      <t>シュスイ</t>
    </rPh>
    <rPh sb="30" eb="32">
      <t>バアイ</t>
    </rPh>
    <rPh sb="33" eb="37">
      <t>クッサクシンド</t>
    </rPh>
    <rPh sb="40" eb="42">
      <t>テイド</t>
    </rPh>
    <rPh sb="43" eb="45">
      <t>ヒツヨウ</t>
    </rPh>
    <rPh sb="45" eb="47">
      <t>スイリョウ</t>
    </rPh>
    <rPh sb="48" eb="50">
      <t>カクホ</t>
    </rPh>
    <rPh sb="53" eb="55">
      <t>ソウテイ</t>
    </rPh>
    <phoneticPr fontId="1"/>
  </si>
  <si>
    <t>地下水位が低い（7ｍより低い）ため水中ポンプを使用する場合．井戸深さ50m程度までで必要水量を確保できる想定．</t>
    <rPh sb="0" eb="4">
      <t>チカスイイ</t>
    </rPh>
    <rPh sb="5" eb="6">
      <t>ヒク</t>
    </rPh>
    <rPh sb="12" eb="13">
      <t>ヒク</t>
    </rPh>
    <rPh sb="17" eb="19">
      <t>スイチュウ</t>
    </rPh>
    <rPh sb="23" eb="25">
      <t>シヨウ</t>
    </rPh>
    <rPh sb="27" eb="29">
      <t>バアイ</t>
    </rPh>
    <rPh sb="52" eb="54">
      <t>ソウテイ</t>
    </rPh>
    <phoneticPr fontId="1"/>
  </si>
  <si>
    <t>地下水位が低い（7ｍより低い）ため水中ポンプを使用する場合．井戸深さ100m程度までで必要水量を確保できる想定．</t>
    <rPh sb="0" eb="4">
      <t>チカスイイ</t>
    </rPh>
    <rPh sb="5" eb="6">
      <t>ヒク</t>
    </rPh>
    <rPh sb="12" eb="13">
      <t>ヒク</t>
    </rPh>
    <rPh sb="17" eb="19">
      <t>スイチュウ</t>
    </rPh>
    <rPh sb="23" eb="25">
      <t>シヨウ</t>
    </rPh>
    <rPh sb="27" eb="29">
      <t>バアイ</t>
    </rPh>
    <rPh sb="53" eb="55">
      <t>ソウテイ</t>
    </rPh>
    <phoneticPr fontId="1"/>
  </si>
  <si>
    <t>湧水を地中埋設型の取水桝で取水する場合．基本的に自然流下で浄水設備まで導水できる想定．</t>
    <rPh sb="0" eb="2">
      <t>ユウスイ</t>
    </rPh>
    <rPh sb="3" eb="7">
      <t>チチュウマイセツ</t>
    </rPh>
    <rPh sb="7" eb="8">
      <t>ガタ</t>
    </rPh>
    <rPh sb="9" eb="11">
      <t>シュスイ</t>
    </rPh>
    <rPh sb="11" eb="12">
      <t>マス</t>
    </rPh>
    <rPh sb="13" eb="15">
      <t>シュスイ</t>
    </rPh>
    <rPh sb="17" eb="19">
      <t>バアイ</t>
    </rPh>
    <rPh sb="20" eb="23">
      <t>キホンテキ</t>
    </rPh>
    <rPh sb="24" eb="28">
      <t>シゼンリュウカ</t>
    </rPh>
    <rPh sb="29" eb="33">
      <t>ジョウスイセツビ</t>
    </rPh>
    <rPh sb="35" eb="37">
      <t>ドウスイ</t>
    </rPh>
    <rPh sb="40" eb="42">
      <t>ソウテイ</t>
    </rPh>
    <phoneticPr fontId="1"/>
  </si>
  <si>
    <t>水源種別と設備の組み合わせ</t>
    <rPh sb="0" eb="2">
      <t>スイゲン</t>
    </rPh>
    <rPh sb="2" eb="4">
      <t>シュベツ</t>
    </rPh>
    <rPh sb="5" eb="7">
      <t>セツビ</t>
    </rPh>
    <rPh sb="8" eb="9">
      <t>ク</t>
    </rPh>
    <rPh sb="10" eb="11">
      <t>ア</t>
    </rPh>
    <phoneticPr fontId="1"/>
  </si>
  <si>
    <t>浄水方式</t>
    <rPh sb="0" eb="4">
      <t>ジョウスイホウシキ</t>
    </rPh>
    <phoneticPr fontId="1"/>
  </si>
  <si>
    <t>浄水方式のパターンとその費用</t>
    <rPh sb="0" eb="2">
      <t>ジョウスイ</t>
    </rPh>
    <rPh sb="2" eb="4">
      <t>ホウシキ</t>
    </rPh>
    <rPh sb="12" eb="14">
      <t>ヒヨウ</t>
    </rPh>
    <phoneticPr fontId="1"/>
  </si>
  <si>
    <t>取水地点から浄水設備まで自然流下で導水できる場合．</t>
    <rPh sb="0" eb="4">
      <t>シュスイチテン</t>
    </rPh>
    <rPh sb="6" eb="10">
      <t>ジョウスイセツビ</t>
    </rPh>
    <rPh sb="12" eb="16">
      <t>シゼンリュウカ</t>
    </rPh>
    <rPh sb="17" eb="19">
      <t>ドウスイ</t>
    </rPh>
    <rPh sb="22" eb="24">
      <t>バアイ</t>
    </rPh>
    <phoneticPr fontId="1"/>
  </si>
  <si>
    <t>取水地点から浄水設備までポンプアップが必要な場合．</t>
    <rPh sb="0" eb="4">
      <t>シュスイチテン</t>
    </rPh>
    <rPh sb="6" eb="10">
      <t>ジョウスイセツビ</t>
    </rPh>
    <rPh sb="19" eb="21">
      <t>ヒツヨウ</t>
    </rPh>
    <rPh sb="22" eb="24">
      <t>バアイ</t>
    </rPh>
    <phoneticPr fontId="1"/>
  </si>
  <si>
    <t>・送配水設備の設置費用は，地域水道における工事事例を参考にしました．</t>
    <rPh sb="1" eb="6">
      <t>ソウハイスイセツビ</t>
    </rPh>
    <rPh sb="7" eb="9">
      <t>セッチ</t>
    </rPh>
    <rPh sb="9" eb="11">
      <t>ヒヨウ</t>
    </rPh>
    <rPh sb="13" eb="15">
      <t>チイキ</t>
    </rPh>
    <rPh sb="15" eb="17">
      <t>スイドウ</t>
    </rPh>
    <rPh sb="21" eb="23">
      <t>コウジ</t>
    </rPh>
    <rPh sb="23" eb="25">
      <t>ジレイ</t>
    </rPh>
    <rPh sb="26" eb="28">
      <t>サンコウ</t>
    </rPh>
    <phoneticPr fontId="1"/>
  </si>
  <si>
    <t>浸透桝(RC造)・接合井(RC造)</t>
    <rPh sb="6" eb="7">
      <t>ゾウ</t>
    </rPh>
    <rPh sb="15" eb="16">
      <t>ゾウ</t>
    </rPh>
    <phoneticPr fontId="1"/>
  </si>
  <si>
    <r>
      <t>取水量50-100m</t>
    </r>
    <r>
      <rPr>
        <vertAlign val="superscript"/>
        <sz val="11"/>
        <color theme="1"/>
        <rFont val="游ゴシック"/>
        <family val="3"/>
        <charset val="128"/>
        <scheme val="minor"/>
      </rPr>
      <t>3</t>
    </r>
    <r>
      <rPr>
        <sz val="11"/>
        <color theme="1"/>
        <rFont val="游ゴシック"/>
        <family val="2"/>
        <charset val="128"/>
        <scheme val="minor"/>
      </rPr>
      <t>/日程度</t>
    </r>
    <rPh sb="0" eb="3">
      <t>シュスイリョウ</t>
    </rPh>
    <rPh sb="13" eb="15">
      <t>テイド</t>
    </rPh>
    <phoneticPr fontId="1"/>
  </si>
  <si>
    <r>
      <t>標準ろ過能力；18m</t>
    </r>
    <r>
      <rPr>
        <vertAlign val="superscript"/>
        <sz val="11"/>
        <color theme="1"/>
        <rFont val="游ゴシック"/>
        <family val="3"/>
        <charset val="128"/>
        <scheme val="minor"/>
      </rPr>
      <t>3</t>
    </r>
    <r>
      <rPr>
        <sz val="11"/>
        <color theme="1"/>
        <rFont val="游ゴシック"/>
        <family val="2"/>
        <charset val="128"/>
        <scheme val="minor"/>
      </rPr>
      <t>/h</t>
    </r>
    <phoneticPr fontId="1"/>
  </si>
  <si>
    <r>
      <t>処理能力：12m</t>
    </r>
    <r>
      <rPr>
        <vertAlign val="superscript"/>
        <sz val="11"/>
        <color theme="1"/>
        <rFont val="游ゴシック"/>
        <family val="3"/>
        <charset val="128"/>
        <scheme val="minor"/>
      </rPr>
      <t>3</t>
    </r>
    <r>
      <rPr>
        <sz val="11"/>
        <color theme="1"/>
        <rFont val="游ゴシック"/>
        <family val="2"/>
        <charset val="128"/>
        <scheme val="minor"/>
      </rPr>
      <t>/日</t>
    </r>
    <rPh sb="0" eb="2">
      <t>ショリ</t>
    </rPh>
    <rPh sb="2" eb="4">
      <t>ノウリョク</t>
    </rPh>
    <phoneticPr fontId="1"/>
  </si>
  <si>
    <t>浄水設備を設置しないパターンです．水源の水質が良好で汚染のリスクがない場合のみ選択できます．</t>
    <rPh sb="0" eb="2">
      <t>ジョウスイ</t>
    </rPh>
    <rPh sb="2" eb="4">
      <t>セツビ</t>
    </rPh>
    <rPh sb="5" eb="7">
      <t>セッチ</t>
    </rPh>
    <rPh sb="17" eb="19">
      <t>スイゲン</t>
    </rPh>
    <rPh sb="20" eb="22">
      <t>スイシツ</t>
    </rPh>
    <rPh sb="23" eb="25">
      <t>リョウコウ</t>
    </rPh>
    <rPh sb="26" eb="28">
      <t>オセン</t>
    </rPh>
    <rPh sb="35" eb="37">
      <t>バアイ</t>
    </rPh>
    <rPh sb="39" eb="41">
      <t>センタク</t>
    </rPh>
    <phoneticPr fontId="1"/>
  </si>
  <si>
    <t>簡易的なろ過をするパターンです．水源の水質が良好で汚染のリスクが比較的小さい場合に選択できます．</t>
    <rPh sb="0" eb="3">
      <t>カンイテキ</t>
    </rPh>
    <rPh sb="5" eb="6">
      <t>カ</t>
    </rPh>
    <rPh sb="16" eb="18">
      <t>スイゲン</t>
    </rPh>
    <rPh sb="19" eb="21">
      <t>スイシツ</t>
    </rPh>
    <rPh sb="22" eb="24">
      <t>リョウコウ</t>
    </rPh>
    <rPh sb="25" eb="27">
      <t>オセン</t>
    </rPh>
    <rPh sb="32" eb="35">
      <t>ヒカクテキ</t>
    </rPh>
    <rPh sb="35" eb="36">
      <t>チイ</t>
    </rPh>
    <rPh sb="38" eb="40">
      <t>バアイ</t>
    </rPh>
    <rPh sb="41" eb="43">
      <t>センタク</t>
    </rPh>
    <phoneticPr fontId="1"/>
  </si>
  <si>
    <t>小型の急速ろ過設備に塩素滅菌を組み合わせたパターンです．降雨などにより濁度が上昇する可能性がある場合に選択します．</t>
    <rPh sb="0" eb="2">
      <t>コガタ</t>
    </rPh>
    <rPh sb="3" eb="5">
      <t>キュウソク</t>
    </rPh>
    <rPh sb="6" eb="7">
      <t>カ</t>
    </rPh>
    <rPh sb="7" eb="9">
      <t>セツビ</t>
    </rPh>
    <rPh sb="10" eb="14">
      <t>エンソメッキン</t>
    </rPh>
    <rPh sb="15" eb="16">
      <t>ク</t>
    </rPh>
    <rPh sb="17" eb="18">
      <t>ア</t>
    </rPh>
    <rPh sb="28" eb="30">
      <t>コウウ</t>
    </rPh>
    <rPh sb="35" eb="37">
      <t>ダクド</t>
    </rPh>
    <rPh sb="38" eb="40">
      <t>ジョウショウ</t>
    </rPh>
    <rPh sb="42" eb="44">
      <t>カノウ</t>
    </rPh>
    <rPh sb="44" eb="45">
      <t>セイ</t>
    </rPh>
    <rPh sb="48" eb="50">
      <t>バアイ</t>
    </rPh>
    <rPh sb="51" eb="53">
      <t>センタク</t>
    </rPh>
    <phoneticPr fontId="1"/>
  </si>
  <si>
    <t>小型の膜ろ過設備に塩素滅菌を組み合わせたパターンです．濁度上昇の可能性や病原性微生物による汚染リスクがある場合に選択します．</t>
    <rPh sb="0" eb="2">
      <t>コガタ</t>
    </rPh>
    <rPh sb="3" eb="4">
      <t>マク</t>
    </rPh>
    <rPh sb="5" eb="6">
      <t>カ</t>
    </rPh>
    <rPh sb="6" eb="8">
      <t>セツビ</t>
    </rPh>
    <rPh sb="9" eb="13">
      <t>エンソメッキン</t>
    </rPh>
    <rPh sb="14" eb="15">
      <t>ク</t>
    </rPh>
    <rPh sb="16" eb="17">
      <t>ア</t>
    </rPh>
    <rPh sb="27" eb="29">
      <t>ダクド</t>
    </rPh>
    <rPh sb="29" eb="31">
      <t>ジョウショウ</t>
    </rPh>
    <rPh sb="32" eb="34">
      <t>カノウ</t>
    </rPh>
    <rPh sb="34" eb="35">
      <t>セイ</t>
    </rPh>
    <rPh sb="36" eb="38">
      <t>ビョウゲン</t>
    </rPh>
    <rPh sb="38" eb="39">
      <t>セイ</t>
    </rPh>
    <rPh sb="39" eb="42">
      <t>ビセイブツ</t>
    </rPh>
    <rPh sb="45" eb="47">
      <t>オセン</t>
    </rPh>
    <rPh sb="53" eb="55">
      <t>バアイ</t>
    </rPh>
    <rPh sb="56" eb="58">
      <t>センタク</t>
    </rPh>
    <phoneticPr fontId="1"/>
  </si>
  <si>
    <t>塩素滅菌のみをするパターンです．水源の水質が良好な場合において，病原性微生物による突発的な汚染リスクを低減する際に選択します．</t>
    <rPh sb="0" eb="4">
      <t>エンソメッキン</t>
    </rPh>
    <rPh sb="16" eb="18">
      <t>スイゲン</t>
    </rPh>
    <rPh sb="19" eb="21">
      <t>スイシツ</t>
    </rPh>
    <rPh sb="22" eb="24">
      <t>リョウコウ</t>
    </rPh>
    <rPh sb="25" eb="27">
      <t>バアイ</t>
    </rPh>
    <rPh sb="41" eb="44">
      <t>トッパツテキ</t>
    </rPh>
    <rPh sb="45" eb="47">
      <t>オセン</t>
    </rPh>
    <rPh sb="51" eb="53">
      <t>テイゲン</t>
    </rPh>
    <rPh sb="55" eb="56">
      <t>サイ</t>
    </rPh>
    <rPh sb="57" eb="59">
      <t>センタク</t>
    </rPh>
    <phoneticPr fontId="1"/>
  </si>
  <si>
    <t>簡易的なろ過をする設備に塩素滅菌を組み合わせたパターンです．水源の水質が良好なものの，突発的な濁度上昇や病原性微生物による汚染リスクがある場合に選択します．</t>
    <rPh sb="0" eb="3">
      <t>カンイテキ</t>
    </rPh>
    <rPh sb="5" eb="6">
      <t>カ</t>
    </rPh>
    <rPh sb="9" eb="11">
      <t>セツビ</t>
    </rPh>
    <rPh sb="12" eb="16">
      <t>エンソメッキン</t>
    </rPh>
    <rPh sb="17" eb="18">
      <t>ク</t>
    </rPh>
    <rPh sb="19" eb="20">
      <t>ア</t>
    </rPh>
    <rPh sb="30" eb="32">
      <t>スイゲン</t>
    </rPh>
    <rPh sb="33" eb="35">
      <t>スイシツ</t>
    </rPh>
    <rPh sb="36" eb="38">
      <t>リョウコウ</t>
    </rPh>
    <rPh sb="43" eb="46">
      <t>トッパツテキ</t>
    </rPh>
    <rPh sb="47" eb="51">
      <t>ダクドジョウショウ</t>
    </rPh>
    <rPh sb="52" eb="54">
      <t>トッパツ</t>
    </rPh>
    <rPh sb="54" eb="55">
      <t>テキ</t>
    </rPh>
    <rPh sb="56" eb="58">
      <t>オセン</t>
    </rPh>
    <rPh sb="69" eb="71">
      <t>バアイ</t>
    </rPh>
    <phoneticPr fontId="1"/>
  </si>
  <si>
    <t>井戸径φ40，掘削深度20m程度
さく井工事・ポンプ・制御盤・配管含む</t>
    <rPh sb="0" eb="2">
      <t>イド</t>
    </rPh>
    <rPh sb="2" eb="3">
      <t>ケイ</t>
    </rPh>
    <rPh sb="7" eb="11">
      <t>クッサクシンド</t>
    </rPh>
    <rPh sb="14" eb="16">
      <t>テイド</t>
    </rPh>
    <rPh sb="19" eb="20">
      <t>イ</t>
    </rPh>
    <rPh sb="20" eb="22">
      <t>コウジ</t>
    </rPh>
    <rPh sb="27" eb="30">
      <t>セイギョバン</t>
    </rPh>
    <rPh sb="31" eb="33">
      <t>ハイカン</t>
    </rPh>
    <rPh sb="33" eb="34">
      <t>フク</t>
    </rPh>
    <phoneticPr fontId="1"/>
  </si>
  <si>
    <t>井戸径φ150，掘削深度100m程度
さく井工事・ポンプ・制御盤・配管含む</t>
    <rPh sb="0" eb="3">
      <t>イドケイ</t>
    </rPh>
    <phoneticPr fontId="1"/>
  </si>
  <si>
    <t>・水源や浄水施設と給水区域の位置関係や必要とする配水能力に応じて設備を選択します．</t>
    <rPh sb="1" eb="3">
      <t>スイゲン</t>
    </rPh>
    <rPh sb="4" eb="6">
      <t>ジョウスイ</t>
    </rPh>
    <rPh sb="6" eb="8">
      <t>シセツ</t>
    </rPh>
    <rPh sb="9" eb="11">
      <t>キュウスイ</t>
    </rPh>
    <rPh sb="11" eb="13">
      <t>クイキ</t>
    </rPh>
    <rPh sb="14" eb="16">
      <t>イチ</t>
    </rPh>
    <rPh sb="16" eb="18">
      <t>カンケイ</t>
    </rPh>
    <rPh sb="19" eb="21">
      <t>ヒツヨウ</t>
    </rPh>
    <rPh sb="24" eb="26">
      <t>ハイスイ</t>
    </rPh>
    <rPh sb="26" eb="28">
      <t>ノウリョク</t>
    </rPh>
    <rPh sb="29" eb="30">
      <t>オウ</t>
    </rPh>
    <rPh sb="32" eb="34">
      <t>セツビ</t>
    </rPh>
    <rPh sb="35" eb="37">
      <t>センタク</t>
    </rPh>
    <phoneticPr fontId="1"/>
  </si>
  <si>
    <t>設備</t>
    <rPh sb="0" eb="2">
      <t>セツビ</t>
    </rPh>
    <phoneticPr fontId="1"/>
  </si>
  <si>
    <t>・地域水道の工事事例は比較的水量が小さいため，水量が多い場合はポンプや配水池の数を増やすことで算出します．</t>
    <rPh sb="1" eb="5">
      <t>チイキスイドウ</t>
    </rPh>
    <rPh sb="6" eb="10">
      <t>コウジジレイ</t>
    </rPh>
    <rPh sb="11" eb="14">
      <t>ヒカクテキ</t>
    </rPh>
    <rPh sb="14" eb="16">
      <t>スイリョウ</t>
    </rPh>
    <rPh sb="17" eb="18">
      <t>チイ</t>
    </rPh>
    <rPh sb="23" eb="25">
      <t>スイリョウ</t>
    </rPh>
    <rPh sb="24" eb="25">
      <t>ハイスイ</t>
    </rPh>
    <rPh sb="28" eb="30">
      <t>バアイ</t>
    </rPh>
    <rPh sb="35" eb="38">
      <t>ハイスイチ</t>
    </rPh>
    <rPh sb="39" eb="40">
      <t>カズ</t>
    </rPh>
    <rPh sb="41" eb="42">
      <t>フ</t>
    </rPh>
    <rPh sb="47" eb="49">
      <t>サンシュツ</t>
    </rPh>
    <phoneticPr fontId="1"/>
  </si>
  <si>
    <t>埋設型</t>
    <rPh sb="0" eb="3">
      <t>マイセツガタ</t>
    </rPh>
    <phoneticPr fontId="1"/>
  </si>
  <si>
    <t>・単価に敷設距離を乗ずることで配管費用を算出します．</t>
    <rPh sb="1" eb="3">
      <t>タンカ</t>
    </rPh>
    <rPh sb="4" eb="8">
      <t>フセツキョリ</t>
    </rPh>
    <rPh sb="9" eb="10">
      <t>ジョウ</t>
    </rPh>
    <rPh sb="15" eb="17">
      <t>ハイカン</t>
    </rPh>
    <rPh sb="17" eb="19">
      <t>ヒヨウ</t>
    </rPh>
    <rPh sb="20" eb="22">
      <t>サンシュツ</t>
    </rPh>
    <phoneticPr fontId="1"/>
  </si>
  <si>
    <t>・各家庭における給水管の新規敷設は想定していません．</t>
    <phoneticPr fontId="1"/>
  </si>
  <si>
    <t>地域の水インフラの今後の運営・再編について，選びうる選択肢の把握，可能性のあるシナリオの組立を支援するツールです．</t>
    <rPh sb="47" eb="49">
      <t>シエン</t>
    </rPh>
    <phoneticPr fontId="1"/>
  </si>
  <si>
    <t>イニシャルコストおよびランニングコストの推計や各シナリオの比較評価をすることができます．</t>
    <phoneticPr fontId="1"/>
  </si>
  <si>
    <t>・対象とする水インフラの水源，施設および運営等について情報収集し，現状分析を行ってください．現状分析については，「実践ガイド」をご覧ください．</t>
    <rPh sb="6" eb="7">
      <t>ミズ</t>
    </rPh>
    <rPh sb="12" eb="14">
      <t>スイゲン</t>
    </rPh>
    <rPh sb="15" eb="17">
      <t>シセツ</t>
    </rPh>
    <rPh sb="20" eb="22">
      <t>ウンエイ</t>
    </rPh>
    <rPh sb="22" eb="23">
      <t>トウ</t>
    </rPh>
    <rPh sb="27" eb="31">
      <t>ジョウホウシュウシュウ</t>
    </rPh>
    <rPh sb="33" eb="37">
      <t>ゲンジョウブンセキ</t>
    </rPh>
    <rPh sb="38" eb="39">
      <t>オコナ</t>
    </rPh>
    <rPh sb="46" eb="50">
      <t>ゲンジョウブンセキ</t>
    </rPh>
    <rPh sb="57" eb="59">
      <t>ジッセン</t>
    </rPh>
    <rPh sb="65" eb="66">
      <t>ラン</t>
    </rPh>
    <phoneticPr fontId="1"/>
  </si>
  <si>
    <t>初期費用（イニシャルコスト）の推計方法</t>
    <rPh sb="0" eb="4">
      <t>ショキヒヨウ</t>
    </rPh>
    <rPh sb="15" eb="17">
      <t>スイケイ</t>
    </rPh>
    <rPh sb="17" eb="19">
      <t>ホウホウ</t>
    </rPh>
    <phoneticPr fontId="1"/>
  </si>
  <si>
    <t>年間費用（ランニングコスト）の推計方法</t>
    <rPh sb="0" eb="2">
      <t>ネンカン</t>
    </rPh>
    <rPh sb="2" eb="4">
      <t>ヒヨウ</t>
    </rPh>
    <rPh sb="15" eb="17">
      <t>スイケイ</t>
    </rPh>
    <rPh sb="17" eb="19">
      <t>ホウホウ</t>
    </rPh>
    <phoneticPr fontId="1"/>
  </si>
  <si>
    <t>上水道・簡易水道・その他水道（地域自律管理型）の年間コスト</t>
    <rPh sb="0" eb="3">
      <t>ジョウスイドウ</t>
    </rPh>
    <rPh sb="4" eb="8">
      <t>カンイスイドウ</t>
    </rPh>
    <rPh sb="11" eb="12">
      <t>タ</t>
    </rPh>
    <rPh sb="12" eb="14">
      <t>スイドウ</t>
    </rPh>
    <rPh sb="15" eb="22">
      <t>チイキジリツカンリガタ</t>
    </rPh>
    <rPh sb="24" eb="26">
      <t>ネンカン</t>
    </rPh>
    <phoneticPr fontId="1"/>
  </si>
  <si>
    <t>分散型井戸の年間コスト</t>
    <rPh sb="0" eb="3">
      <t>ブンサンガタ</t>
    </rPh>
    <rPh sb="3" eb="5">
      <t>イド</t>
    </rPh>
    <rPh sb="6" eb="8">
      <t>ネンカン</t>
    </rPh>
    <phoneticPr fontId="1"/>
  </si>
  <si>
    <t>・実際の地域の水道のシステム構成を参考にして，水源の種別に応じた設備や方式のパターン（取水：6パターン，浄水：6パターン）を設定しました．</t>
    <rPh sb="1" eb="3">
      <t>ジッサイ</t>
    </rPh>
    <rPh sb="4" eb="6">
      <t>チイキ</t>
    </rPh>
    <rPh sb="7" eb="9">
      <t>スイドウ</t>
    </rPh>
    <rPh sb="14" eb="16">
      <t>コウセイ</t>
    </rPh>
    <rPh sb="17" eb="19">
      <t>サンコウ</t>
    </rPh>
    <rPh sb="23" eb="25">
      <t>スイゲン</t>
    </rPh>
    <rPh sb="26" eb="28">
      <t>シュベツ</t>
    </rPh>
    <rPh sb="29" eb="30">
      <t>オウ</t>
    </rPh>
    <rPh sb="32" eb="34">
      <t>セツビ</t>
    </rPh>
    <rPh sb="35" eb="37">
      <t>ホウシキ</t>
    </rPh>
    <rPh sb="43" eb="45">
      <t>シュスイ</t>
    </rPh>
    <rPh sb="52" eb="54">
      <t>ジョウスイ</t>
    </rPh>
    <rPh sb="62" eb="64">
      <t>セッテイ</t>
    </rPh>
    <phoneticPr fontId="1"/>
  </si>
  <si>
    <t>・取水設備・浄水設備は，地域水道における工事事例および工事業者見積を参考にし，工事事例が収集できなかった設備に関しては文献を参考にしました．</t>
    <rPh sb="1" eb="3">
      <t>シュスイ</t>
    </rPh>
    <rPh sb="3" eb="5">
      <t>セツビ</t>
    </rPh>
    <rPh sb="6" eb="8">
      <t>ジョウスイ</t>
    </rPh>
    <rPh sb="8" eb="10">
      <t>セツビ</t>
    </rPh>
    <rPh sb="12" eb="14">
      <t>チイキ</t>
    </rPh>
    <rPh sb="14" eb="16">
      <t>スイドウ</t>
    </rPh>
    <rPh sb="20" eb="22">
      <t>コウジ</t>
    </rPh>
    <rPh sb="22" eb="24">
      <t>ジレイ</t>
    </rPh>
    <rPh sb="27" eb="29">
      <t>コウジ</t>
    </rPh>
    <rPh sb="29" eb="31">
      <t>ギョウシャ</t>
    </rPh>
    <rPh sb="31" eb="33">
      <t>ミツモリ</t>
    </rPh>
    <rPh sb="34" eb="36">
      <t>サンコウ</t>
    </rPh>
    <rPh sb="39" eb="41">
      <t>コウジ</t>
    </rPh>
    <rPh sb="41" eb="43">
      <t>ジレイ</t>
    </rPh>
    <rPh sb="44" eb="46">
      <t>シュウシュウ</t>
    </rPh>
    <rPh sb="52" eb="54">
      <t>セツビ</t>
    </rPh>
    <rPh sb="55" eb="56">
      <t>カン</t>
    </rPh>
    <rPh sb="59" eb="61">
      <t>ブンケン</t>
    </rPh>
    <rPh sb="62" eb="64">
      <t>サンコウ</t>
    </rPh>
    <phoneticPr fontId="1"/>
  </si>
  <si>
    <t>・水道事業の種別ごとのパラメータは下表の通りです．</t>
    <rPh sb="17" eb="19">
      <t>シタヒョウ</t>
    </rPh>
    <rPh sb="20" eb="21">
      <t>トオ</t>
    </rPh>
    <phoneticPr fontId="1"/>
  </si>
  <si>
    <t>・詳しくは以下の文献に記載されています．</t>
    <rPh sb="1" eb="2">
      <t>クワ</t>
    </rPh>
    <rPh sb="5" eb="7">
      <t>イカ</t>
    </rPh>
    <rPh sb="8" eb="10">
      <t>ブンケン</t>
    </rPh>
    <rPh sb="11" eb="13">
      <t>キサイ</t>
    </rPh>
    <phoneticPr fontId="1"/>
  </si>
  <si>
    <t>【文献】＊＊＊＊＊＊＊＊＊，＊＊＊＊＊＊＊＊＊＊</t>
    <rPh sb="1" eb="3">
      <t>ブンケン</t>
    </rPh>
    <phoneticPr fontId="1"/>
  </si>
  <si>
    <t>水道事業の種別</t>
    <rPh sb="0" eb="4">
      <t>スイドウジギョウ</t>
    </rPh>
    <rPh sb="5" eb="7">
      <t>シュベツ</t>
    </rPh>
    <phoneticPr fontId="1"/>
  </si>
  <si>
    <t>・統計データや聞き取り調査の結果をもとにして，水道事業の種別ごとに計算式（重回帰モデル）を作成しました．</t>
    <rPh sb="1" eb="3">
      <t>トウケイ</t>
    </rPh>
    <rPh sb="7" eb="8">
      <t>キ</t>
    </rPh>
    <rPh sb="9" eb="10">
      <t>ト</t>
    </rPh>
    <rPh sb="11" eb="13">
      <t>チョウサ</t>
    </rPh>
    <rPh sb="14" eb="16">
      <t>ケッカ</t>
    </rPh>
    <rPh sb="33" eb="36">
      <t>ケイサンシキ</t>
    </rPh>
    <rPh sb="37" eb="40">
      <t>ジュウカイキ</t>
    </rPh>
    <rPh sb="45" eb="47">
      <t>サクセイ</t>
    </rPh>
    <phoneticPr fontId="1"/>
  </si>
  <si>
    <t>上水道（計画2万人未満）</t>
    <rPh sb="0" eb="2">
      <t>ジョウスイ</t>
    </rPh>
    <rPh sb="2" eb="3">
      <t>ドウ</t>
    </rPh>
    <rPh sb="4" eb="6">
      <t>ケイカク</t>
    </rPh>
    <rPh sb="7" eb="9">
      <t>マンニン</t>
    </rPh>
    <rPh sb="9" eb="11">
      <t>ミマン</t>
    </rPh>
    <phoneticPr fontId="1"/>
  </si>
  <si>
    <t>上水道（計画2万人以上）</t>
    <rPh sb="0" eb="2">
      <t>ジョウスイ</t>
    </rPh>
    <rPh sb="2" eb="3">
      <t>ドウ</t>
    </rPh>
    <rPh sb="4" eb="6">
      <t>ケイカク</t>
    </rPh>
    <rPh sb="7" eb="9">
      <t>マンニン</t>
    </rPh>
    <rPh sb="9" eb="11">
      <t>イジョウ</t>
    </rPh>
    <phoneticPr fontId="1"/>
  </si>
  <si>
    <t>その他水道（地域自律管理型）</t>
    <rPh sb="2" eb="3">
      <t>ホカ</t>
    </rPh>
    <rPh sb="3" eb="5">
      <t>スイドウ</t>
    </rPh>
    <rPh sb="6" eb="13">
      <t>チイキジリツカンリガタ</t>
    </rPh>
    <phoneticPr fontId="1"/>
  </si>
  <si>
    <t>・年間コストとして水質検査費用と取水ポンプの電気代を想定しています．</t>
    <rPh sb="1" eb="3">
      <t>ネンカン</t>
    </rPh>
    <rPh sb="9" eb="15">
      <t>スイシツケンサヒヨウ</t>
    </rPh>
    <rPh sb="16" eb="18">
      <t>シュスイ</t>
    </rPh>
    <rPh sb="22" eb="25">
      <t>デンキダイ</t>
    </rPh>
    <rPh sb="26" eb="28">
      <t>ソウテイ</t>
    </rPh>
    <phoneticPr fontId="1"/>
  </si>
  <si>
    <t>・水質検査費用は，文献値（厚労省，H30）を参考にしています．</t>
    <rPh sb="1" eb="3">
      <t>スイシツ</t>
    </rPh>
    <rPh sb="3" eb="5">
      <t>ケンサ</t>
    </rPh>
    <rPh sb="5" eb="7">
      <t>ヒヨウ</t>
    </rPh>
    <rPh sb="9" eb="12">
      <t>ブンケンチ</t>
    </rPh>
    <rPh sb="13" eb="16">
      <t>コウロウショウ</t>
    </rPh>
    <rPh sb="22" eb="24">
      <t>サンコウ</t>
    </rPh>
    <phoneticPr fontId="1"/>
  </si>
  <si>
    <t>・取水ポンプの年間の電気代は，標準的なポンプ仕様や水の使用量の場合を想定して算出しました．</t>
    <rPh sb="1" eb="3">
      <t>シュスイ</t>
    </rPh>
    <rPh sb="7" eb="9">
      <t>ネンカン</t>
    </rPh>
    <rPh sb="10" eb="13">
      <t>デンキダイ</t>
    </rPh>
    <phoneticPr fontId="1"/>
  </si>
  <si>
    <t>項目</t>
    <rPh sb="0" eb="2">
      <t>コウモク</t>
    </rPh>
    <phoneticPr fontId="1"/>
  </si>
  <si>
    <t>水質検査費（円／基）</t>
    <rPh sb="0" eb="5">
      <t>スイシツケンサヒ</t>
    </rPh>
    <rPh sb="6" eb="7">
      <t>エン</t>
    </rPh>
    <rPh sb="8" eb="9">
      <t>キ</t>
    </rPh>
    <phoneticPr fontId="1"/>
  </si>
  <si>
    <t>ポンプ電気代（円／戸）</t>
    <rPh sb="3" eb="6">
      <t>デンキダイ</t>
    </rPh>
    <rPh sb="7" eb="8">
      <t>エン</t>
    </rPh>
    <rPh sb="9" eb="10">
      <t>コ</t>
    </rPh>
    <phoneticPr fontId="1"/>
  </si>
  <si>
    <t>以下のモデルケースについて試算</t>
    <rPh sb="0" eb="2">
      <t>イカ</t>
    </rPh>
    <rPh sb="13" eb="15">
      <t>シサン</t>
    </rPh>
    <phoneticPr fontId="1"/>
  </si>
  <si>
    <t>厚労省，H30，人口減少地域における多様な給水方法の検討に関する調査．</t>
    <rPh sb="0" eb="3">
      <t>コウロウショウ</t>
    </rPh>
    <phoneticPr fontId="1"/>
  </si>
  <si>
    <t>ポンプ出力400W相当</t>
    <rPh sb="3" eb="5">
      <t>シュツリョク</t>
    </rPh>
    <rPh sb="9" eb="11">
      <t>ソウトウ</t>
    </rPh>
    <phoneticPr fontId="1"/>
  </si>
  <si>
    <t>数値</t>
    <rPh sb="0" eb="2">
      <t>スウチ</t>
    </rPh>
    <phoneticPr fontId="1"/>
  </si>
  <si>
    <t>単位</t>
    <rPh sb="0" eb="2">
      <t>タンイ</t>
    </rPh>
    <phoneticPr fontId="1"/>
  </si>
  <si>
    <t>厚労省，2023，いま知りたい水道</t>
    <rPh sb="0" eb="3">
      <t>コウロウショウ</t>
    </rPh>
    <rPh sb="11" eb="12">
      <t>シ</t>
    </rPh>
    <rPh sb="15" eb="17">
      <t>スイドウ</t>
    </rPh>
    <phoneticPr fontId="1"/>
  </si>
  <si>
    <t>資源エネルギー庁，2023，日本のエネルギー2023年度版</t>
    <rPh sb="0" eb="2">
      <t>シゲン</t>
    </rPh>
    <rPh sb="7" eb="8">
      <t>チョウ</t>
    </rPh>
    <rPh sb="14" eb="16">
      <t>ニホン</t>
    </rPh>
    <rPh sb="26" eb="28">
      <t>ネンド</t>
    </rPh>
    <rPh sb="28" eb="29">
      <t>バン</t>
    </rPh>
    <phoneticPr fontId="1"/>
  </si>
  <si>
    <t>塩ビ管，φ50</t>
    <rPh sb="0" eb="1">
      <t>エン</t>
    </rPh>
    <rPh sb="2" eb="3">
      <t>カン</t>
    </rPh>
    <phoneticPr fontId="1"/>
  </si>
  <si>
    <t>塩ビ管，φ75</t>
    <rPh sb="0" eb="1">
      <t>エン</t>
    </rPh>
    <rPh sb="2" eb="3">
      <t>カン</t>
    </rPh>
    <phoneticPr fontId="1"/>
  </si>
  <si>
    <t>塩ビ管，φ100</t>
    <rPh sb="0" eb="1">
      <t>エン</t>
    </rPh>
    <rPh sb="2" eb="3">
      <t>カン</t>
    </rPh>
    <phoneticPr fontId="1"/>
  </si>
  <si>
    <t>塩ビ管，φ150</t>
    <rPh sb="0" eb="1">
      <t>エン</t>
    </rPh>
    <rPh sb="2" eb="3">
      <t>カン</t>
    </rPh>
    <phoneticPr fontId="1"/>
  </si>
  <si>
    <t>ポリ管，φ50</t>
    <rPh sb="2" eb="3">
      <t>カン</t>
    </rPh>
    <phoneticPr fontId="8"/>
  </si>
  <si>
    <t>配水ポリ管，φ75</t>
    <rPh sb="0" eb="2">
      <t>ハイスイ</t>
    </rPh>
    <rPh sb="4" eb="5">
      <t>カン</t>
    </rPh>
    <phoneticPr fontId="8"/>
  </si>
  <si>
    <t>配水ポリ管，φ100</t>
    <rPh sb="0" eb="2">
      <t>ハイスイ</t>
    </rPh>
    <rPh sb="4" eb="5">
      <t>カン</t>
    </rPh>
    <phoneticPr fontId="8"/>
  </si>
  <si>
    <t>概算値</t>
    <rPh sb="0" eb="3">
      <t>ガイサンチ</t>
    </rPh>
    <phoneticPr fontId="1"/>
  </si>
  <si>
    <t>デモ用，開発用でファイル分ける．デモ用の入力シートを保護（パスワード：CJKS）
計算部，計算ワークシートを非表示</t>
    <rPh sb="2" eb="3">
      <t>ヨウ</t>
    </rPh>
    <rPh sb="4" eb="7">
      <t>カイハツヨウ</t>
    </rPh>
    <rPh sb="12" eb="13">
      <t>ワ</t>
    </rPh>
    <rPh sb="18" eb="19">
      <t>ヨウ</t>
    </rPh>
    <rPh sb="20" eb="22">
      <t>ニュウリョク</t>
    </rPh>
    <rPh sb="26" eb="28">
      <t>ホゴ</t>
    </rPh>
    <rPh sb="41" eb="43">
      <t>ケイサン</t>
    </rPh>
    <rPh sb="43" eb="44">
      <t>ブ</t>
    </rPh>
    <rPh sb="45" eb="47">
      <t>ケイサン</t>
    </rPh>
    <rPh sb="54" eb="57">
      <t>ヒヒョウジ</t>
    </rPh>
    <phoneticPr fontId="1"/>
  </si>
  <si>
    <t>・Summaryシートの年間コストについて，事業全体と当該地域を併記
・分散型井戸対応（共同井戸管路長，ランニングコスト）
・入力完了チェックボックス追加，全体レイアウト調整
・シート名日本語化
・説明シート追加</t>
    <rPh sb="12" eb="14">
      <t>ネンカン</t>
    </rPh>
    <rPh sb="22" eb="26">
      <t>ジギョウゼンタイ</t>
    </rPh>
    <rPh sb="27" eb="31">
      <t>トウガイチイキ</t>
    </rPh>
    <rPh sb="32" eb="34">
      <t>ヘイキ</t>
    </rPh>
    <rPh sb="36" eb="39">
      <t>ブンサンガタ</t>
    </rPh>
    <rPh sb="39" eb="41">
      <t>イド</t>
    </rPh>
    <rPh sb="41" eb="43">
      <t>タイオウ</t>
    </rPh>
    <rPh sb="44" eb="48">
      <t>キョウドウイド</t>
    </rPh>
    <rPh sb="48" eb="50">
      <t>カンロ</t>
    </rPh>
    <rPh sb="50" eb="51">
      <t>チョウ</t>
    </rPh>
    <rPh sb="63" eb="67">
      <t>ニュウリョクカンリョウ</t>
    </rPh>
    <rPh sb="75" eb="77">
      <t>ツイカ</t>
    </rPh>
    <rPh sb="78" eb="80">
      <t>ゼンタイ</t>
    </rPh>
    <rPh sb="85" eb="87">
      <t>チョウセイ</t>
    </rPh>
    <rPh sb="92" eb="93">
      <t>メイ</t>
    </rPh>
    <rPh sb="93" eb="96">
      <t>ニホンゴ</t>
    </rPh>
    <rPh sb="96" eb="97">
      <t>カ</t>
    </rPh>
    <rPh sb="99" eb="101">
      <t>セツメイ</t>
    </rPh>
    <rPh sb="104" eb="106">
      <t>ツイカ</t>
    </rPh>
    <phoneticPr fontId="1"/>
  </si>
  <si>
    <t>No</t>
    <phoneticPr fontId="1"/>
  </si>
  <si>
    <t>＜接続による再編（合計）＞</t>
    <rPh sb="1" eb="3">
      <t>セツゾク</t>
    </rPh>
    <rPh sb="6" eb="8">
      <t>サイヘン</t>
    </rPh>
    <rPh sb="9" eb="11">
      <t>ゴウケイ</t>
    </rPh>
    <phoneticPr fontId="1"/>
  </si>
  <si>
    <t>＜経営統合による再編（合計）＞</t>
    <rPh sb="1" eb="5">
      <t>ケイエイトウゴウ</t>
    </rPh>
    <rPh sb="8" eb="10">
      <t>サイヘン</t>
    </rPh>
    <rPh sb="11" eb="13">
      <t>ゴウケイ</t>
    </rPh>
    <phoneticPr fontId="1"/>
  </si>
  <si>
    <t>＜経営統合前の相手先評価）＞</t>
    <rPh sb="1" eb="5">
      <t>ケイエイトウゴウ</t>
    </rPh>
    <rPh sb="5" eb="6">
      <t>マエ</t>
    </rPh>
    <rPh sb="7" eb="9">
      <t>アイテ</t>
    </rPh>
    <rPh sb="9" eb="10">
      <t>サキ</t>
    </rPh>
    <rPh sb="10" eb="12">
      <t>ヒョウカ</t>
    </rPh>
    <phoneticPr fontId="1"/>
  </si>
  <si>
    <t>(2)再編後の施設</t>
    <rPh sb="3" eb="5">
      <t>サイヘン</t>
    </rPh>
    <rPh sb="5" eb="6">
      <t>ゴ</t>
    </rPh>
    <rPh sb="7" eb="9">
      <t>シセツ</t>
    </rPh>
    <phoneticPr fontId="1"/>
  </si>
  <si>
    <t>(1)再編後の事業概要</t>
    <rPh sb="3" eb="5">
      <t>サイヘン</t>
    </rPh>
    <rPh sb="5" eb="6">
      <t>ゴ</t>
    </rPh>
    <rPh sb="7" eb="11">
      <t>ジギョウガイヨウ</t>
    </rPh>
    <phoneticPr fontId="1"/>
  </si>
  <si>
    <t>(2)接続あるいは経営統合先の施設</t>
    <rPh sb="3" eb="5">
      <t>セツゾク</t>
    </rPh>
    <rPh sb="15" eb="17">
      <t>シセツ</t>
    </rPh>
    <phoneticPr fontId="1"/>
  </si>
  <si>
    <t>維持管理体制（接続・経営統合）</t>
    <rPh sb="0" eb="6">
      <t>イジカンリタイセイ</t>
    </rPh>
    <rPh sb="7" eb="9">
      <t>セツゾク</t>
    </rPh>
    <rPh sb="10" eb="14">
      <t>ケイエイトウゴウ</t>
    </rPh>
    <phoneticPr fontId="1"/>
  </si>
  <si>
    <t>(5)事業形態</t>
    <rPh sb="3" eb="7">
      <t>ジギョウケイタイ</t>
    </rPh>
    <phoneticPr fontId="1"/>
  </si>
  <si>
    <t>再編後の事業形態について選択してください．</t>
    <rPh sb="0" eb="3">
      <t>サイヘンゴ</t>
    </rPh>
    <rPh sb="4" eb="6">
      <t>ジギョウ</t>
    </rPh>
    <rPh sb="6" eb="8">
      <t>ケイタイ</t>
    </rPh>
    <rPh sb="12" eb="14">
      <t>センタク</t>
    </rPh>
    <phoneticPr fontId="1"/>
  </si>
  <si>
    <t>事業形態は現状を維持して給水のみを受ける</t>
    <rPh sb="0" eb="4">
      <t>ジギョウケイタイ</t>
    </rPh>
    <rPh sb="5" eb="7">
      <t>ゲンジョウ</t>
    </rPh>
    <rPh sb="8" eb="10">
      <t>イジ</t>
    </rPh>
    <rPh sb="12" eb="14">
      <t>キュウスイ</t>
    </rPh>
    <rPh sb="17" eb="18">
      <t>ウ</t>
    </rPh>
    <phoneticPr fontId="1"/>
  </si>
  <si>
    <t>単独で再編する（他水道に接続・統合しない）</t>
    <rPh sb="0" eb="2">
      <t>タンドク</t>
    </rPh>
    <rPh sb="3" eb="5">
      <t>サイヘン</t>
    </rPh>
    <rPh sb="8" eb="11">
      <t>タスイドウ</t>
    </rPh>
    <rPh sb="12" eb="14">
      <t>セツゾク</t>
    </rPh>
    <rPh sb="15" eb="17">
      <t>トウゴウ</t>
    </rPh>
    <phoneticPr fontId="1"/>
  </si>
  <si>
    <t>分散型井戸に転換する（個別・共同井戸の設置）</t>
    <rPh sb="0" eb="3">
      <t>ブンサンガタ</t>
    </rPh>
    <rPh sb="3" eb="5">
      <t>イド</t>
    </rPh>
    <rPh sb="6" eb="8">
      <t>テンカン</t>
    </rPh>
    <rPh sb="11" eb="13">
      <t>コベツ</t>
    </rPh>
    <rPh sb="14" eb="16">
      <t>キョウドウ</t>
    </rPh>
    <rPh sb="16" eb="18">
      <t>イド</t>
    </rPh>
    <rPh sb="19" eb="21">
      <t>セッチ</t>
    </rPh>
    <phoneticPr fontId="1"/>
  </si>
  <si>
    <t>接続／統合の場合</t>
    <rPh sb="0" eb="2">
      <t>セツゾク</t>
    </rPh>
    <rPh sb="3" eb="5">
      <t>トウゴウ</t>
    </rPh>
    <rPh sb="6" eb="8">
      <t>バアイ</t>
    </rPh>
    <phoneticPr fontId="1"/>
  </si>
  <si>
    <t>接続する場合は以下にも入力してください</t>
    <rPh sb="0" eb="2">
      <t>セツゾク</t>
    </rPh>
    <phoneticPr fontId="1"/>
  </si>
  <si>
    <t>水源</t>
    <rPh sb="0" eb="2">
      <t>スイゲン</t>
    </rPh>
    <phoneticPr fontId="1"/>
  </si>
  <si>
    <t>飲料水供給施設・自治体管理の場合のランニングコスト</t>
    <rPh sb="0" eb="7">
      <t>インリョウスイキョウキュウシセツ</t>
    </rPh>
    <rPh sb="8" eb="13">
      <t>ジチタイカンリ</t>
    </rPh>
    <rPh sb="14" eb="16">
      <t>バアイ</t>
    </rPh>
    <phoneticPr fontId="1"/>
  </si>
  <si>
    <t>浄水処理</t>
    <rPh sb="0" eb="4">
      <t>ジョウスイショリ</t>
    </rPh>
    <phoneticPr fontId="1"/>
  </si>
  <si>
    <t>飲料水供給施設・自治体管理</t>
    <rPh sb="0" eb="7">
      <t>インリョウスイキョウキュウシセツ</t>
    </rPh>
    <rPh sb="8" eb="13">
      <t>ジチタイカンリ</t>
    </rPh>
    <phoneticPr fontId="1"/>
  </si>
  <si>
    <t>一般</t>
    <rPh sb="0" eb="2">
      <t>イッパン</t>
    </rPh>
    <phoneticPr fontId="1"/>
  </si>
  <si>
    <t>・飲料水供給施設を自治体管理で運営する場合は，事例が少ないため年間コストを推計できません．</t>
    <rPh sb="1" eb="4">
      <t>インリョウスイ</t>
    </rPh>
    <rPh sb="4" eb="6">
      <t>キョウキュウ</t>
    </rPh>
    <rPh sb="6" eb="8">
      <t>シセツ</t>
    </rPh>
    <rPh sb="9" eb="12">
      <t>ジチタイ</t>
    </rPh>
    <rPh sb="12" eb="14">
      <t>カンリ</t>
    </rPh>
    <rPh sb="15" eb="17">
      <t>ウンエイ</t>
    </rPh>
    <rPh sb="19" eb="21">
      <t>バアイ</t>
    </rPh>
    <rPh sb="23" eb="25">
      <t>ジレイ</t>
    </rPh>
    <rPh sb="26" eb="27">
      <t>スク</t>
    </rPh>
    <rPh sb="31" eb="33">
      <t>ネンカン</t>
    </rPh>
    <rPh sb="37" eb="39">
      <t>スイケイ</t>
    </rPh>
    <phoneticPr fontId="1"/>
  </si>
  <si>
    <t>現状が飲供・自治体</t>
    <rPh sb="0" eb="2">
      <t>ゲンジョウ</t>
    </rPh>
    <rPh sb="3" eb="4">
      <t>イン</t>
    </rPh>
    <rPh sb="4" eb="5">
      <t>キョウ</t>
    </rPh>
    <rPh sb="6" eb="9">
      <t>ジチタイ</t>
    </rPh>
    <phoneticPr fontId="1"/>
  </si>
  <si>
    <t>コメント（再編）</t>
    <rPh sb="5" eb="7">
      <t>サイヘン</t>
    </rPh>
    <phoneticPr fontId="1"/>
  </si>
  <si>
    <t>コメント（現状）</t>
    <rPh sb="5" eb="7">
      <t>ゲンジョウ</t>
    </rPh>
    <phoneticPr fontId="1"/>
  </si>
  <si>
    <t>現状のランニングコスト推計</t>
    <rPh sb="0" eb="2">
      <t>ゲンジョウ</t>
    </rPh>
    <rPh sb="11" eb="13">
      <t>スイケイ</t>
    </rPh>
    <phoneticPr fontId="1"/>
  </si>
  <si>
    <t>・現状の年間コストは推計値です．実績値がある場合はそちらを参考にしてください．</t>
    <rPh sb="1" eb="3">
      <t>ゲンジョウ</t>
    </rPh>
    <rPh sb="4" eb="6">
      <t>ネンカン</t>
    </rPh>
    <rPh sb="10" eb="13">
      <t>スイケイチ</t>
    </rPh>
    <phoneticPr fontId="1"/>
  </si>
  <si>
    <t>他水道に接続して受水する</t>
    <rPh sb="0" eb="3">
      <t>タスイドウ</t>
    </rPh>
    <rPh sb="4" eb="6">
      <t>セツゾク</t>
    </rPh>
    <rPh sb="8" eb="10">
      <t>ジュスイ</t>
    </rPh>
    <phoneticPr fontId="1"/>
  </si>
  <si>
    <t>他水道と経営を統合する（接続はしない）</t>
    <rPh sb="0" eb="3">
      <t>タスイドウ</t>
    </rPh>
    <rPh sb="4" eb="6">
      <t>ケイエイ</t>
    </rPh>
    <rPh sb="7" eb="9">
      <t>トウゴウ</t>
    </rPh>
    <rPh sb="12" eb="14">
      <t>セツゾク</t>
    </rPh>
    <phoneticPr fontId="1"/>
  </si>
  <si>
    <t>接続先の事業に統合する</t>
    <rPh sb="0" eb="3">
      <t>セツゾクサキ</t>
    </rPh>
    <rPh sb="4" eb="6">
      <t>ジギョウ</t>
    </rPh>
    <rPh sb="7" eb="9">
      <t>トウゴウ</t>
    </rPh>
    <phoneticPr fontId="1"/>
  </si>
  <si>
    <t>他水道へ接続</t>
    <rPh sb="0" eb="3">
      <t>タスイドウ</t>
    </rPh>
    <rPh sb="4" eb="6">
      <t>セツゾク</t>
    </rPh>
    <phoneticPr fontId="1"/>
  </si>
  <si>
    <t>他水道と経営を統合</t>
    <rPh sb="0" eb="3">
      <t>タスイドウ</t>
    </rPh>
    <rPh sb="4" eb="6">
      <t>ケイエイ</t>
    </rPh>
    <rPh sb="7" eb="9">
      <t>トウゴウ</t>
    </rPh>
    <phoneticPr fontId="1"/>
  </si>
  <si>
    <t>飲用水供給施設（自治体管理）</t>
    <rPh sb="0" eb="3">
      <t>インヨウスイ</t>
    </rPh>
    <rPh sb="3" eb="5">
      <t>キョウキュウ</t>
    </rPh>
    <rPh sb="5" eb="7">
      <t>シセツ</t>
    </rPh>
    <rPh sb="8" eb="13">
      <t>ジチタイカンリ</t>
    </rPh>
    <phoneticPr fontId="1"/>
  </si>
  <si>
    <t>・事業を統合せず受水のみする場合は，事例が少ないため年間コストを推計できません．</t>
    <rPh sb="1" eb="3">
      <t>ジギョウ</t>
    </rPh>
    <rPh sb="4" eb="6">
      <t>トウゴウ</t>
    </rPh>
    <rPh sb="8" eb="10">
      <t>ジュスイ</t>
    </rPh>
    <rPh sb="14" eb="16">
      <t>バアイ</t>
    </rPh>
    <rPh sb="18" eb="20">
      <t>ジレイ</t>
    </rPh>
    <rPh sb="21" eb="22">
      <t>スク</t>
    </rPh>
    <rPh sb="26" eb="28">
      <t>ネンカン</t>
    </rPh>
    <rPh sb="32" eb="34">
      <t>スイケイ</t>
    </rPh>
    <phoneticPr fontId="1"/>
  </si>
  <si>
    <t>※複数系統ある場合に入力</t>
    <rPh sb="1" eb="3">
      <t>フクスウ</t>
    </rPh>
    <rPh sb="3" eb="5">
      <t>ケイトウ</t>
    </rPh>
    <rPh sb="7" eb="9">
      <t>バアイ</t>
    </rPh>
    <rPh sb="10" eb="12">
      <t>ニュウリョク</t>
    </rPh>
    <phoneticPr fontId="1"/>
  </si>
  <si>
    <t>維持管理主体の変更について（地域→自治体）</t>
    <rPh sb="0" eb="4">
      <t>イジカンリ</t>
    </rPh>
    <rPh sb="4" eb="6">
      <t>シュタイ</t>
    </rPh>
    <rPh sb="7" eb="9">
      <t>ヘンコウ</t>
    </rPh>
    <rPh sb="14" eb="16">
      <t>チイキ</t>
    </rPh>
    <rPh sb="17" eb="20">
      <t>ジチタイ</t>
    </rPh>
    <phoneticPr fontId="1"/>
  </si>
  <si>
    <t>実際の運営主体については，システムで示すもの以外にも多様な選択肢があります．詳しくは道総研までお問い合わせください．</t>
    <phoneticPr fontId="1"/>
  </si>
  <si>
    <r>
      <rPr>
        <b/>
        <sz val="12"/>
        <color theme="1"/>
        <rFont val="游ゴシック"/>
        <family val="3"/>
        <charset val="128"/>
        <scheme val="minor"/>
      </rPr>
      <t>【単独再編シナリオ】</t>
    </r>
    <r>
      <rPr>
        <sz val="11"/>
        <color theme="1"/>
        <rFont val="游ゴシック"/>
        <family val="2"/>
        <charset val="128"/>
        <scheme val="minor"/>
      </rPr>
      <t xml:space="preserve">
他水道に接続・統合をせず再編する
（軽微な変更による現状維持を含む）</t>
    </r>
    <rPh sb="1" eb="5">
      <t>タンドクサイヘン</t>
    </rPh>
    <rPh sb="11" eb="12">
      <t>タ</t>
    </rPh>
    <rPh sb="12" eb="14">
      <t>スイドウ</t>
    </rPh>
    <rPh sb="15" eb="17">
      <t>セツゾク</t>
    </rPh>
    <rPh sb="18" eb="20">
      <t>トウゴウ</t>
    </rPh>
    <rPh sb="23" eb="25">
      <t>サイヘン</t>
    </rPh>
    <rPh sb="29" eb="31">
      <t>ケイビ</t>
    </rPh>
    <rPh sb="32" eb="34">
      <t>ヘンコウ</t>
    </rPh>
    <rPh sb="37" eb="41">
      <t>ゲンジョウイジ</t>
    </rPh>
    <rPh sb="42" eb="43">
      <t>フク</t>
    </rPh>
    <phoneticPr fontId="1"/>
  </si>
  <si>
    <r>
      <rPr>
        <b/>
        <sz val="12"/>
        <color theme="1"/>
        <rFont val="游ゴシック"/>
        <family val="3"/>
        <charset val="128"/>
        <scheme val="minor"/>
      </rPr>
      <t>【分散型井戸シナリオ】</t>
    </r>
    <r>
      <rPr>
        <sz val="11"/>
        <color theme="1"/>
        <rFont val="游ゴシック"/>
        <family val="2"/>
        <charset val="128"/>
        <scheme val="minor"/>
      </rPr>
      <t xml:space="preserve">
個別井戸・共同井戸へ転換する</t>
    </r>
    <r>
      <rPr>
        <sz val="11"/>
        <color theme="1"/>
        <rFont val="游ゴシック"/>
        <family val="3"/>
        <charset val="128"/>
        <scheme val="minor"/>
      </rPr>
      <t xml:space="preserve">
</t>
    </r>
    <rPh sb="1" eb="4">
      <t>ブンサンガタ</t>
    </rPh>
    <rPh sb="4" eb="6">
      <t>イド</t>
    </rPh>
    <rPh sb="12" eb="14">
      <t>コベツ</t>
    </rPh>
    <rPh sb="14" eb="16">
      <t>イド</t>
    </rPh>
    <rPh sb="17" eb="21">
      <t>キョウドウイド</t>
    </rPh>
    <rPh sb="22" eb="24">
      <t>テンカン</t>
    </rPh>
    <phoneticPr fontId="1"/>
  </si>
  <si>
    <r>
      <rPr>
        <b/>
        <sz val="12"/>
        <color theme="1"/>
        <rFont val="游ゴシック"/>
        <family val="3"/>
        <charset val="128"/>
        <scheme val="minor"/>
      </rPr>
      <t>【接続シナリオ】</t>
    </r>
    <r>
      <rPr>
        <sz val="11"/>
        <color theme="1"/>
        <rFont val="游ゴシック"/>
        <family val="2"/>
        <charset val="128"/>
        <scheme val="minor"/>
      </rPr>
      <t xml:space="preserve">
他の水道に管路を接続して受水する</t>
    </r>
    <r>
      <rPr>
        <sz val="11"/>
        <color theme="1"/>
        <rFont val="游ゴシック"/>
        <family val="3"/>
        <charset val="128"/>
        <scheme val="minor"/>
      </rPr>
      <t xml:space="preserve">
</t>
    </r>
    <rPh sb="1" eb="3">
      <t>セツゾク</t>
    </rPh>
    <rPh sb="9" eb="10">
      <t>タ</t>
    </rPh>
    <rPh sb="11" eb="13">
      <t>スイドウ</t>
    </rPh>
    <rPh sb="14" eb="16">
      <t>カンロ</t>
    </rPh>
    <rPh sb="17" eb="19">
      <t>セツゾク</t>
    </rPh>
    <rPh sb="21" eb="23">
      <t>ジュスイ</t>
    </rPh>
    <phoneticPr fontId="1"/>
  </si>
  <si>
    <t>水源を変更する？</t>
    <rPh sb="0" eb="2">
      <t>スイゲン</t>
    </rPh>
    <rPh sb="3" eb="5">
      <t>ヘンコウ</t>
    </rPh>
    <phoneticPr fontId="1"/>
  </si>
  <si>
    <t>※2</t>
    <phoneticPr fontId="1"/>
  </si>
  <si>
    <t>接続先の事業に統合する？</t>
    <rPh sb="0" eb="3">
      <t>セツゾクサキ</t>
    </rPh>
    <rPh sb="4" eb="6">
      <t>ジギョウ</t>
    </rPh>
    <rPh sb="7" eb="9">
      <t>トウゴウ</t>
    </rPh>
    <phoneticPr fontId="1"/>
  </si>
  <si>
    <t>※1</t>
    <phoneticPr fontId="1"/>
  </si>
  <si>
    <t xml:space="preserve"> Yes</t>
    <phoneticPr fontId="1"/>
  </si>
  <si>
    <t>運営主体は現状を維持する？</t>
    <rPh sb="0" eb="2">
      <t>ウンエイ</t>
    </rPh>
    <rPh sb="2" eb="4">
      <t>シュタイ</t>
    </rPh>
    <rPh sb="5" eb="7">
      <t>ゲンジョウ</t>
    </rPh>
    <rPh sb="8" eb="10">
      <t>イジ</t>
    </rPh>
    <phoneticPr fontId="1"/>
  </si>
  <si>
    <t>代替水源の可能性を探る；「水資源Navi」を用いて，水源の位置や期待される水量や水質の目星を付ける）</t>
    <rPh sb="0" eb="4">
      <t>ダイタイスイゲン</t>
    </rPh>
    <rPh sb="5" eb="8">
      <t>カノウセイ</t>
    </rPh>
    <rPh sb="9" eb="10">
      <t>サグ</t>
    </rPh>
    <rPh sb="13" eb="16">
      <t>ミズシゲン</t>
    </rPh>
    <rPh sb="22" eb="23">
      <t>モチ</t>
    </rPh>
    <rPh sb="29" eb="31">
      <t>イチ</t>
    </rPh>
    <rPh sb="43" eb="45">
      <t>メボシ</t>
    </rPh>
    <rPh sb="46" eb="47">
      <t>ツ</t>
    </rPh>
    <phoneticPr fontId="1"/>
  </si>
  <si>
    <t>地域全体の地下水状況を把握する；「水資源Navi」を用いて，各戸において期待される水量や水質を確認する</t>
    <rPh sb="0" eb="2">
      <t>チイキ</t>
    </rPh>
    <rPh sb="2" eb="4">
      <t>ゼンタイ</t>
    </rPh>
    <rPh sb="5" eb="8">
      <t>チカスイ</t>
    </rPh>
    <rPh sb="8" eb="10">
      <t>ジョウキョウ</t>
    </rPh>
    <rPh sb="11" eb="13">
      <t>ハアク</t>
    </rPh>
    <rPh sb="17" eb="20">
      <t>ミズシゲン</t>
    </rPh>
    <rPh sb="26" eb="27">
      <t>モチ</t>
    </rPh>
    <rPh sb="30" eb="32">
      <t>カクコ</t>
    </rPh>
    <rPh sb="36" eb="38">
      <t>キタイ</t>
    </rPh>
    <rPh sb="41" eb="43">
      <t>スイリョウ</t>
    </rPh>
    <rPh sb="44" eb="46">
      <t>スイシツ</t>
    </rPh>
    <rPh sb="47" eb="49">
      <t>カクニン</t>
    </rPh>
    <phoneticPr fontId="1"/>
  </si>
  <si>
    <t>合併先の水道と当該水道の位置関係に応じて，延長する管路の経路や必要となる送・配水設備を検討する</t>
    <rPh sb="0" eb="3">
      <t>ガッペイサキ</t>
    </rPh>
    <rPh sb="4" eb="6">
      <t>スイドウ</t>
    </rPh>
    <rPh sb="7" eb="9">
      <t>トウガイ</t>
    </rPh>
    <rPh sb="9" eb="11">
      <t>スイドウ</t>
    </rPh>
    <rPh sb="12" eb="16">
      <t>イチカンケイ</t>
    </rPh>
    <rPh sb="17" eb="18">
      <t>オウ</t>
    </rPh>
    <rPh sb="21" eb="23">
      <t>エンチョウ</t>
    </rPh>
    <rPh sb="25" eb="27">
      <t>カンロ</t>
    </rPh>
    <rPh sb="28" eb="30">
      <t>ケイロ</t>
    </rPh>
    <rPh sb="31" eb="33">
      <t>ヒツヨウ</t>
    </rPh>
    <rPh sb="36" eb="37">
      <t>ソウ</t>
    </rPh>
    <rPh sb="38" eb="40">
      <t>ハイスイ</t>
    </rPh>
    <rPh sb="40" eb="42">
      <t>セツビ</t>
    </rPh>
    <rPh sb="43" eb="45">
      <t>ケントウ</t>
    </rPh>
    <phoneticPr fontId="1"/>
  </si>
  <si>
    <t>水源の種別に対応した取水設備や水質に応じた処理方式を検討する．新設あるいは更新する設備（取水・浄水・送配水）や管路を検討する</t>
    <rPh sb="0" eb="2">
      <t>スイゲン</t>
    </rPh>
    <rPh sb="3" eb="5">
      <t>シュベツ</t>
    </rPh>
    <rPh sb="6" eb="8">
      <t>タイオウ</t>
    </rPh>
    <rPh sb="10" eb="12">
      <t>シュスイ</t>
    </rPh>
    <rPh sb="12" eb="14">
      <t>セツビ</t>
    </rPh>
    <rPh sb="15" eb="17">
      <t>スイシツ</t>
    </rPh>
    <rPh sb="18" eb="19">
      <t>オウ</t>
    </rPh>
    <rPh sb="21" eb="25">
      <t>ショリホウシキ</t>
    </rPh>
    <rPh sb="26" eb="28">
      <t>ケントウ</t>
    </rPh>
    <rPh sb="31" eb="33">
      <t>シンセツ</t>
    </rPh>
    <rPh sb="37" eb="39">
      <t>コウシン</t>
    </rPh>
    <rPh sb="44" eb="46">
      <t>シュスイ</t>
    </rPh>
    <rPh sb="47" eb="49">
      <t>ジョウスイ</t>
    </rPh>
    <rPh sb="50" eb="53">
      <t>ソウハイスイ</t>
    </rPh>
    <rPh sb="55" eb="57">
      <t>カンロ</t>
    </rPh>
    <rPh sb="58" eb="60">
      <t>ケントウ</t>
    </rPh>
    <phoneticPr fontId="1"/>
  </si>
  <si>
    <t>接続先の水道の情報（種別，給水人口，配水能力等）を入力する</t>
    <rPh sb="0" eb="2">
      <t>セツゾク</t>
    </rPh>
    <rPh sb="2" eb="3">
      <t>サキ</t>
    </rPh>
    <rPh sb="4" eb="6">
      <t>スイドウ</t>
    </rPh>
    <rPh sb="7" eb="9">
      <t>ジョウホウ</t>
    </rPh>
    <rPh sb="10" eb="12">
      <t>シュベツ</t>
    </rPh>
    <rPh sb="13" eb="17">
      <t>キュウスイジンコウ</t>
    </rPh>
    <rPh sb="18" eb="22">
      <t>ハイスイノウリョク</t>
    </rPh>
    <rPh sb="22" eb="23">
      <t>トウ</t>
    </rPh>
    <rPh sb="25" eb="27">
      <t>ニュウリョク</t>
    </rPh>
    <phoneticPr fontId="1"/>
  </si>
  <si>
    <t>経営統合先の情報（種別，給水人口，配水能力等）を入力する</t>
    <rPh sb="0" eb="5">
      <t>ケイエイトウゴウサキ</t>
    </rPh>
    <rPh sb="6" eb="8">
      <t>ジョウホウ</t>
    </rPh>
    <rPh sb="24" eb="26">
      <t>ニュウリョク</t>
    </rPh>
    <phoneticPr fontId="1"/>
  </si>
  <si>
    <t>事業を統合せず受水のみするケースです．維持管理は現状の運営主体が実施することになります．</t>
    <rPh sb="19" eb="23">
      <t>イジカンリ</t>
    </rPh>
    <rPh sb="24" eb="26">
      <t>ゲンジョウ</t>
    </rPh>
    <rPh sb="27" eb="31">
      <t>ウンエイシュタイ</t>
    </rPh>
    <rPh sb="32" eb="34">
      <t>ジッシ</t>
    </rPh>
    <phoneticPr fontId="1"/>
  </si>
  <si>
    <t>各シナリオについて想定されるイニシャルコスト，ランニングコストの推計値を比較・検討する　※3</t>
    <rPh sb="0" eb="1">
      <t>カク</t>
    </rPh>
    <rPh sb="9" eb="11">
      <t>ソウテイ</t>
    </rPh>
    <rPh sb="32" eb="35">
      <t>スイケイチ</t>
    </rPh>
    <rPh sb="36" eb="38">
      <t>ヒカク</t>
    </rPh>
    <rPh sb="39" eb="41">
      <t>ケントウ</t>
    </rPh>
    <phoneticPr fontId="1"/>
  </si>
  <si>
    <t>※3</t>
  </si>
  <si>
    <r>
      <rPr>
        <b/>
        <sz val="11"/>
        <color theme="1"/>
        <rFont val="游ゴシック"/>
        <family val="3"/>
        <charset val="128"/>
        <scheme val="minor"/>
      </rPr>
      <t>①施設の問題</t>
    </r>
    <r>
      <rPr>
        <sz val="11"/>
        <color theme="1"/>
        <rFont val="游ゴシック"/>
        <family val="2"/>
        <charset val="128"/>
        <scheme val="minor"/>
      </rPr>
      <t xml:space="preserve">
（老朽化が激しい、更新をどうするか、災害に弱いなど）</t>
    </r>
    <phoneticPr fontId="1"/>
  </si>
  <si>
    <r>
      <rPr>
        <b/>
        <sz val="11"/>
        <color theme="1"/>
        <rFont val="游ゴシック"/>
        <family val="3"/>
        <charset val="128"/>
        <scheme val="minor"/>
      </rPr>
      <t>②水源の問題</t>
    </r>
    <r>
      <rPr>
        <sz val="11"/>
        <color theme="1"/>
        <rFont val="游ゴシック"/>
        <family val="2"/>
        <charset val="128"/>
        <scheme val="minor"/>
      </rPr>
      <t xml:space="preserve">
（水が出なくなった、水質が悪くなった、水源が遠くて管理が大変など）</t>
    </r>
    <rPh sb="1" eb="3">
      <t>スイゲン</t>
    </rPh>
    <rPh sb="4" eb="6">
      <t>モンダイ</t>
    </rPh>
    <rPh sb="8" eb="9">
      <t>ミズ</t>
    </rPh>
    <rPh sb="10" eb="11">
      <t>デ</t>
    </rPh>
    <rPh sb="17" eb="19">
      <t>スイシツ</t>
    </rPh>
    <rPh sb="20" eb="21">
      <t>ワル</t>
    </rPh>
    <rPh sb="26" eb="28">
      <t>スイゲン</t>
    </rPh>
    <rPh sb="29" eb="30">
      <t>トオ</t>
    </rPh>
    <rPh sb="32" eb="34">
      <t>カンリ</t>
    </rPh>
    <rPh sb="35" eb="37">
      <t>タイヘン</t>
    </rPh>
    <phoneticPr fontId="1"/>
  </si>
  <si>
    <r>
      <rPr>
        <b/>
        <sz val="11"/>
        <color theme="1"/>
        <rFont val="游ゴシック"/>
        <family val="3"/>
        <charset val="128"/>
        <scheme val="minor"/>
      </rPr>
      <t>③給水人口の問題</t>
    </r>
    <r>
      <rPr>
        <sz val="11"/>
        <color theme="1"/>
        <rFont val="游ゴシック"/>
        <family val="2"/>
        <charset val="128"/>
        <scheme val="minor"/>
      </rPr>
      <t xml:space="preserve">
（料金収入が足りない、現在人口に対して施設の規模が大きすぎるなど）</t>
    </r>
    <phoneticPr fontId="1"/>
  </si>
  <si>
    <r>
      <rPr>
        <b/>
        <sz val="11"/>
        <color theme="1"/>
        <rFont val="游ゴシック"/>
        <family val="3"/>
        <charset val="128"/>
        <scheme val="minor"/>
      </rPr>
      <t>④運営主体の問題</t>
    </r>
    <r>
      <rPr>
        <sz val="11"/>
        <color theme="1"/>
        <rFont val="游ゴシック"/>
        <family val="2"/>
        <charset val="128"/>
        <scheme val="minor"/>
      </rPr>
      <t xml:space="preserve">
（担い手がいない、高齢化が進んで維持管理ができない、など）</t>
    </r>
    <rPh sb="6" eb="8">
      <t>モンダイ</t>
    </rPh>
    <phoneticPr fontId="1"/>
  </si>
  <si>
    <t>想定される地下水の状況に応じて，新設する井戸の仕様や本数を検討する（共同井戸の場合は管路も検討）</t>
    <rPh sb="0" eb="2">
      <t>ソウテイ</t>
    </rPh>
    <rPh sb="5" eb="8">
      <t>チカスイ</t>
    </rPh>
    <rPh sb="9" eb="11">
      <t>ジョウキョウ</t>
    </rPh>
    <rPh sb="12" eb="13">
      <t>オウ</t>
    </rPh>
    <rPh sb="16" eb="18">
      <t>シンセツ</t>
    </rPh>
    <rPh sb="20" eb="22">
      <t>イド</t>
    </rPh>
    <rPh sb="23" eb="25">
      <t>シヨウ</t>
    </rPh>
    <rPh sb="26" eb="28">
      <t>ホンスウ</t>
    </rPh>
    <rPh sb="29" eb="31">
      <t>ケントウ</t>
    </rPh>
    <rPh sb="34" eb="38">
      <t>キョウドウイド</t>
    </rPh>
    <rPh sb="39" eb="41">
      <t>バアイ</t>
    </rPh>
    <rPh sb="42" eb="44">
      <t>カンロ</t>
    </rPh>
    <rPh sb="45" eb="47">
      <t>ケントウ</t>
    </rPh>
    <phoneticPr fontId="1"/>
  </si>
  <si>
    <r>
      <rPr>
        <b/>
        <sz val="12"/>
        <color theme="1"/>
        <rFont val="游ゴシック"/>
        <family val="3"/>
        <charset val="128"/>
        <scheme val="minor"/>
      </rPr>
      <t>【経営統合シナリオ】</t>
    </r>
    <r>
      <rPr>
        <sz val="11"/>
        <color theme="1"/>
        <rFont val="游ゴシック"/>
        <family val="2"/>
        <charset val="128"/>
        <scheme val="minor"/>
      </rPr>
      <t xml:space="preserve">
他の水道と経営を統合する
（管路の接続をせず，事業を一体化）</t>
    </r>
    <rPh sb="1" eb="5">
      <t>ケイエイトウゴウ</t>
    </rPh>
    <rPh sb="11" eb="12">
      <t>タ</t>
    </rPh>
    <rPh sb="13" eb="15">
      <t>スイドウ</t>
    </rPh>
    <rPh sb="16" eb="18">
      <t>ケイエイ</t>
    </rPh>
    <rPh sb="19" eb="21">
      <t>トウゴウ</t>
    </rPh>
    <rPh sb="25" eb="27">
      <t>カンロ</t>
    </rPh>
    <rPh sb="28" eb="30">
      <t>セツゾク</t>
    </rPh>
    <rPh sb="34" eb="36">
      <t>ジギョウ</t>
    </rPh>
    <rPh sb="37" eb="40">
      <t>イッタイカ</t>
    </rPh>
    <phoneticPr fontId="1"/>
  </si>
  <si>
    <t>一部のシナリオにおいて，条件によっては事例が少なくコストを推計できない場合があります．</t>
    <rPh sb="0" eb="2">
      <t>イチブ</t>
    </rPh>
    <rPh sb="12" eb="14">
      <t>ジョウケン</t>
    </rPh>
    <rPh sb="19" eb="21">
      <t>ジレイ</t>
    </rPh>
    <rPh sb="22" eb="23">
      <t>スク</t>
    </rPh>
    <rPh sb="29" eb="31">
      <t>スイケイ</t>
    </rPh>
    <rPh sb="35" eb="37">
      <t>バアイ</t>
    </rPh>
    <phoneticPr fontId="1"/>
  </si>
  <si>
    <t>他水道に管路を接続して受水する</t>
    <rPh sb="0" eb="3">
      <t>タスイドウ</t>
    </rPh>
    <rPh sb="4" eb="6">
      <t>カンロ</t>
    </rPh>
    <rPh sb="7" eb="9">
      <t>セツゾク</t>
    </rPh>
    <rPh sb="11" eb="13">
      <t>ジュスイ</t>
    </rPh>
    <phoneticPr fontId="1"/>
  </si>
  <si>
    <t>他水道と経営を統合する（管路は接続しない）</t>
    <rPh sb="0" eb="3">
      <t>タスイドウ</t>
    </rPh>
    <rPh sb="4" eb="6">
      <t>ケイエイ</t>
    </rPh>
    <rPh sb="7" eb="9">
      <t>トウゴウ</t>
    </rPh>
    <rPh sb="12" eb="14">
      <t>カンロ</t>
    </rPh>
    <rPh sb="15" eb="17">
      <t>セツゾク</t>
    </rPh>
    <phoneticPr fontId="1"/>
  </si>
  <si>
    <t>維持管理主体の変更について（→地域（委託））</t>
    <rPh sb="0" eb="4">
      <t>イジカンリ</t>
    </rPh>
    <rPh sb="4" eb="6">
      <t>シュタイ</t>
    </rPh>
    <rPh sb="7" eb="9">
      <t>ヘンコウ</t>
    </rPh>
    <rPh sb="15" eb="17">
      <t>チイキ</t>
    </rPh>
    <rPh sb="18" eb="20">
      <t>イタク</t>
    </rPh>
    <phoneticPr fontId="1"/>
  </si>
  <si>
    <t>上水道・簡易水道への接続・経営統合（事業統合）</t>
    <rPh sb="0" eb="3">
      <t>ジョウスイドウ</t>
    </rPh>
    <rPh sb="4" eb="8">
      <t>カンイスイドウ</t>
    </rPh>
    <rPh sb="10" eb="12">
      <t>セツゾク</t>
    </rPh>
    <rPh sb="13" eb="17">
      <t>ケイエイトウゴウ</t>
    </rPh>
    <rPh sb="18" eb="22">
      <t>ジギョウトウゴウ</t>
    </rPh>
    <phoneticPr fontId="1"/>
  </si>
  <si>
    <t>管路の接続のみの場合のランニングコスト</t>
    <rPh sb="0" eb="2">
      <t>カンロ</t>
    </rPh>
    <rPh sb="3" eb="5">
      <t>セツゾク</t>
    </rPh>
    <rPh sb="8" eb="10">
      <t>バアイ</t>
    </rPh>
    <phoneticPr fontId="1"/>
  </si>
  <si>
    <t>事業統合／接続のみ</t>
    <rPh sb="0" eb="4">
      <t>ジギョウトウゴウ</t>
    </rPh>
    <rPh sb="5" eb="7">
      <t>セツゾク</t>
    </rPh>
    <phoneticPr fontId="1"/>
  </si>
  <si>
    <t xml:space="preserve">上水・簡水への接続／統合 </t>
    <rPh sb="0" eb="2">
      <t>ジョウスイ</t>
    </rPh>
    <rPh sb="3" eb="5">
      <t>カンスイ</t>
    </rPh>
    <rPh sb="7" eb="9">
      <t>セツゾク</t>
    </rPh>
    <rPh sb="10" eb="12">
      <t>トウゴウ</t>
    </rPh>
    <phoneticPr fontId="1"/>
  </si>
  <si>
    <t>【地下水】20m級井戸（陸ポンプ）</t>
    <rPh sb="1" eb="4">
      <t>チカスイ</t>
    </rPh>
    <rPh sb="8" eb="9">
      <t>キュウ</t>
    </rPh>
    <rPh sb="9" eb="11">
      <t>イド</t>
    </rPh>
    <rPh sb="12" eb="13">
      <t>リク</t>
    </rPh>
    <phoneticPr fontId="1"/>
  </si>
  <si>
    <t>【地下水】100m級井戸（水中ポンプ）</t>
    <rPh sb="1" eb="4">
      <t>チカスイ</t>
    </rPh>
    <rPh sb="9" eb="10">
      <t>キュウ</t>
    </rPh>
    <rPh sb="10" eb="12">
      <t>イド</t>
    </rPh>
    <rPh sb="13" eb="15">
      <t>スイチュウ</t>
    </rPh>
    <phoneticPr fontId="1"/>
  </si>
  <si>
    <t>【地下水】50m級井戸（水中ポンプ）</t>
    <rPh sb="1" eb="4">
      <t>チカスイ</t>
    </rPh>
    <rPh sb="8" eb="9">
      <t>キュウ</t>
    </rPh>
    <rPh sb="9" eb="11">
      <t>イド</t>
    </rPh>
    <rPh sb="12" eb="14">
      <t>スイチュウ</t>
    </rPh>
    <phoneticPr fontId="1"/>
  </si>
  <si>
    <t>　　※掘削深度50m程度</t>
    <rPh sb="3" eb="7">
      <t>クッサクシンド</t>
    </rPh>
    <rPh sb="10" eb="12">
      <t>テイド</t>
    </rPh>
    <phoneticPr fontId="1"/>
  </si>
  <si>
    <t>井戸径φ100，掘削深度50m程度
さく井工事・ポンプ・制御盤・配管含む</t>
    <rPh sb="0" eb="3">
      <t>イドケイ</t>
    </rPh>
    <phoneticPr fontId="1"/>
  </si>
  <si>
    <t>バージョン管理表</t>
    <rPh sb="5" eb="8">
      <t>カンリヒョウ</t>
    </rPh>
    <phoneticPr fontId="1"/>
  </si>
  <si>
    <t xml:space="preserve">・チェックボックスのセルロック解除
・管路は接続するが事業は統合しないケースを追加：シナリオ設定ガイド変更
・語句の整理（合併，経営統合→接続，経営統合）（井戸名称，管路名称等）
・シナリオシート改定（コメント，計算式など）
</t>
    <rPh sb="15" eb="17">
      <t>カイジョ</t>
    </rPh>
    <rPh sb="19" eb="21">
      <t>カンロ</t>
    </rPh>
    <rPh sb="22" eb="24">
      <t>セツゾク</t>
    </rPh>
    <rPh sb="27" eb="29">
      <t>ジギョウ</t>
    </rPh>
    <rPh sb="30" eb="32">
      <t>トウゴウ</t>
    </rPh>
    <rPh sb="39" eb="41">
      <t>ツイカ</t>
    </rPh>
    <rPh sb="46" eb="48">
      <t>セッテイ</t>
    </rPh>
    <rPh sb="51" eb="53">
      <t>ヘンコウ</t>
    </rPh>
    <rPh sb="55" eb="57">
      <t>ゴク</t>
    </rPh>
    <rPh sb="58" eb="60">
      <t>セイリ</t>
    </rPh>
    <rPh sb="61" eb="63">
      <t>ガッペイ</t>
    </rPh>
    <rPh sb="64" eb="68">
      <t>ケイエイトウゴウ</t>
    </rPh>
    <rPh sb="69" eb="71">
      <t>セツゾク</t>
    </rPh>
    <rPh sb="72" eb="76">
      <t>ケイエイトウゴウ</t>
    </rPh>
    <rPh sb="78" eb="80">
      <t>イド</t>
    </rPh>
    <rPh sb="80" eb="82">
      <t>メイショウ</t>
    </rPh>
    <rPh sb="83" eb="85">
      <t>カンロ</t>
    </rPh>
    <rPh sb="85" eb="87">
      <t>メイショウ</t>
    </rPh>
    <rPh sb="87" eb="88">
      <t>トウ</t>
    </rPh>
    <rPh sb="98" eb="100">
      <t>カイテイ</t>
    </rPh>
    <rPh sb="106" eb="109">
      <t>ケイサンシキ</t>
    </rPh>
    <phoneticPr fontId="1"/>
  </si>
  <si>
    <r>
      <rPr>
        <b/>
        <sz val="11"/>
        <color theme="1"/>
        <rFont val="Segoe UI Symbol"/>
        <family val="3"/>
      </rPr>
      <t>►</t>
    </r>
    <r>
      <rPr>
        <b/>
        <sz val="11"/>
        <color theme="1"/>
        <rFont val="游ゴシック"/>
        <family val="3"/>
        <charset val="128"/>
        <scheme val="minor"/>
      </rPr>
      <t>接続あるいは経営統合先の事業について入力してください</t>
    </r>
    <rPh sb="1" eb="3">
      <t>セツゾク</t>
    </rPh>
    <rPh sb="7" eb="9">
      <t>ケイエイ</t>
    </rPh>
    <rPh sb="9" eb="11">
      <t>トウゴウ</t>
    </rPh>
    <rPh sb="11" eb="12">
      <t>サキ</t>
    </rPh>
    <rPh sb="13" eb="15">
      <t>ジギョウ</t>
    </rPh>
    <rPh sb="19" eb="21">
      <t>ニュウリョク</t>
    </rPh>
    <phoneticPr fontId="1"/>
  </si>
  <si>
    <r>
      <t>►</t>
    </r>
    <r>
      <rPr>
        <b/>
        <sz val="11"/>
        <color theme="1"/>
        <rFont val="游ゴシック"/>
        <family val="3"/>
        <charset val="128"/>
        <scheme val="minor"/>
      </rPr>
      <t>接続あるいは経営統合先の事業について入力してください</t>
    </r>
    <rPh sb="1" eb="3">
      <t>セツゾク</t>
    </rPh>
    <rPh sb="7" eb="9">
      <t>ケイエイ</t>
    </rPh>
    <rPh sb="9" eb="11">
      <t>トウゴウ</t>
    </rPh>
    <rPh sb="11" eb="12">
      <t>サキ</t>
    </rPh>
    <rPh sb="13" eb="15">
      <t>ジギョウ</t>
    </rPh>
    <rPh sb="19" eb="21">
      <t>ニュウリョク</t>
    </rPh>
    <phoneticPr fontId="1"/>
  </si>
  <si>
    <t>(1)接続あるいは経営統合先の事業概要</t>
    <rPh sb="3" eb="5">
      <t>セツゾク</t>
    </rPh>
    <rPh sb="9" eb="11">
      <t>ケイエイ</t>
    </rPh>
    <rPh sb="11" eb="13">
      <t>トウゴウ</t>
    </rPh>
    <rPh sb="13" eb="14">
      <t>サキ</t>
    </rPh>
    <rPh sb="15" eb="19">
      <t>ジギョウガイヨウ</t>
    </rPh>
    <phoneticPr fontId="1"/>
  </si>
  <si>
    <t>現行</t>
    <rPh sb="0" eb="2">
      <t>ゲンコウ</t>
    </rPh>
    <phoneticPr fontId="1"/>
  </si>
  <si>
    <t>・接続あるいは経営統合先の事業認可が変更になる可能性があるため，確認が必要です．</t>
    <rPh sb="1" eb="3">
      <t>セツゾク</t>
    </rPh>
    <rPh sb="7" eb="9">
      <t>ケイエイ</t>
    </rPh>
    <rPh sb="9" eb="11">
      <t>トウゴウ</t>
    </rPh>
    <rPh sb="11" eb="12">
      <t>サキ</t>
    </rPh>
    <rPh sb="13" eb="15">
      <t>ジギョウ</t>
    </rPh>
    <rPh sb="15" eb="17">
      <t>ニンカ</t>
    </rPh>
    <rPh sb="18" eb="20">
      <t>ヘンコウ</t>
    </rPh>
    <rPh sb="23" eb="26">
      <t>カノウセイ</t>
    </rPh>
    <rPh sb="32" eb="34">
      <t>カクニン</t>
    </rPh>
    <rPh sb="35" eb="37">
      <t>ヒツヨウ</t>
    </rPh>
    <phoneticPr fontId="1"/>
  </si>
  <si>
    <t>・年間コスト（当該地域）は，事業全体の年間コストのうち，当該地域分の年間コストを表しています．接続あるいは経営統合した水道事業全体の給水人口に対する当該地域の給水人口比から算出しています．</t>
    <rPh sb="1" eb="3">
      <t>ネンカン</t>
    </rPh>
    <rPh sb="7" eb="11">
      <t>トウガイチイキ</t>
    </rPh>
    <rPh sb="14" eb="18">
      <t>ジギョウゼンタイ</t>
    </rPh>
    <rPh sb="19" eb="21">
      <t>ネンカン</t>
    </rPh>
    <rPh sb="34" eb="36">
      <t>ネンカン</t>
    </rPh>
    <rPh sb="40" eb="41">
      <t>アラワ</t>
    </rPh>
    <rPh sb="47" eb="49">
      <t>セツゾク</t>
    </rPh>
    <rPh sb="53" eb="57">
      <t>ケイエイトウゴウ</t>
    </rPh>
    <rPh sb="59" eb="61">
      <t>スイドウ</t>
    </rPh>
    <rPh sb="61" eb="63">
      <t>ジギョウ</t>
    </rPh>
    <rPh sb="63" eb="65">
      <t>ゼンタイ</t>
    </rPh>
    <rPh sb="66" eb="70">
      <t>キュウスイジンコウ</t>
    </rPh>
    <rPh sb="71" eb="72">
      <t>タイ</t>
    </rPh>
    <rPh sb="83" eb="84">
      <t>ヒ</t>
    </rPh>
    <rPh sb="86" eb="88">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</si>
</sst>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
  </numFmts>
  <fonts count="32">
    <font>
      <sz val="11"/>
      <color theme="1"/>
      <name val="游ゴシック"/>
      <family val="2"/>
      <charset val="128"/>
      <scheme val="minor"/>
    </font>
    <font>
      <sz val="6"/>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sz val="11"/>
      <color rgb="FFFF0000"/>
      <name val="游ゴシック"/>
      <family val="2"/>
      <charset val="128"/>
      <scheme val="minor"/>
    </font>
    <font>
      <sz val="11"/>
      <color theme="4"/>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6"/>
      <name val="游ゴシック"/>
      <family val="3"/>
      <charset val="128"/>
      <scheme val="minor"/>
    </font>
    <font>
      <sz val="11"/>
      <name val="游ゴシック"/>
      <family val="3"/>
      <charset val="128"/>
      <scheme val="minor"/>
    </font>
    <font>
      <b/>
      <sz val="20"/>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9"/>
      <color indexed="81"/>
      <name val="MS P ゴシック"/>
      <family val="3"/>
      <charset val="128"/>
    </font>
    <font>
      <b/>
      <sz val="9"/>
      <color indexed="81"/>
      <name val="MS P ゴシック"/>
      <family val="3"/>
      <charset val="128"/>
    </font>
    <font>
      <b/>
      <sz val="14"/>
      <color theme="1"/>
      <name val="游ゴシック"/>
      <family val="3"/>
      <charset val="128"/>
      <scheme val="minor"/>
    </font>
    <font>
      <sz val="20"/>
      <color theme="1"/>
      <name val="游ゴシック"/>
      <family val="3"/>
      <charset val="128"/>
      <scheme val="minor"/>
    </font>
    <font>
      <b/>
      <sz val="20"/>
      <color rgb="FFFF0000"/>
      <name val="游ゴシック"/>
      <family val="3"/>
      <charset val="128"/>
      <scheme val="minor"/>
    </font>
    <font>
      <sz val="20"/>
      <color theme="4"/>
      <name val="游ゴシック"/>
      <family val="3"/>
      <charset val="128"/>
      <scheme val="minor"/>
    </font>
    <font>
      <sz val="12"/>
      <name val="游ゴシック"/>
      <family val="3"/>
      <charset val="128"/>
      <scheme val="minor"/>
    </font>
    <font>
      <b/>
      <sz val="12"/>
      <color theme="1"/>
      <name val="游ゴシック"/>
      <family val="3"/>
      <charset val="128"/>
      <scheme val="minor"/>
    </font>
    <font>
      <b/>
      <sz val="11"/>
      <color theme="1"/>
      <name val="Segoe UI Symbol"/>
      <family val="3"/>
    </font>
    <font>
      <b/>
      <vertAlign val="superscript"/>
      <sz val="11"/>
      <color theme="1"/>
      <name val="游ゴシック"/>
      <family val="3"/>
      <charset val="128"/>
      <scheme val="minor"/>
    </font>
    <font>
      <sz val="11"/>
      <color theme="1"/>
      <name val="游ゴシック"/>
      <family val="2"/>
      <charset val="128"/>
      <scheme val="minor"/>
    </font>
    <font>
      <b/>
      <sz val="16"/>
      <color theme="0"/>
      <name val="游ゴシック"/>
      <family val="3"/>
      <charset val="128"/>
      <scheme val="minor"/>
    </font>
    <font>
      <b/>
      <sz val="11"/>
      <color theme="1"/>
      <name val="游ゴシック"/>
      <family val="3"/>
      <charset val="128"/>
    </font>
    <font>
      <u/>
      <sz val="11"/>
      <color theme="10"/>
      <name val="游ゴシック"/>
      <family val="2"/>
      <charset val="128"/>
      <scheme val="minor"/>
    </font>
    <font>
      <sz val="6"/>
      <color theme="1"/>
      <name val="游ゴシック"/>
      <family val="3"/>
      <charset val="128"/>
      <scheme val="minor"/>
    </font>
    <font>
      <sz val="11"/>
      <name val="游ゴシック"/>
      <family val="2"/>
      <charset val="128"/>
      <scheme val="minor"/>
    </font>
    <font>
      <vertAlign val="superscript"/>
      <sz val="11"/>
      <color theme="1"/>
      <name val="游ゴシック"/>
      <family val="3"/>
      <charset val="128"/>
      <scheme val="minor"/>
    </font>
    <font>
      <sz val="6"/>
      <color theme="1"/>
      <name val="游ゴシック"/>
      <family val="2"/>
      <charset val="128"/>
      <scheme val="minor"/>
    </font>
  </fonts>
  <fills count="12">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s>
  <borders count="22">
    <border>
      <left/>
      <right/>
      <top/>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s>
  <cellStyleXfs count="3">
    <xf numFmtId="0" fontId="0" fillId="0" borderId="0">
      <alignment vertical="center"/>
    </xf>
    <xf numFmtId="38" fontId="24"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22">
    <xf numFmtId="0" fontId="0" fillId="0" borderId="0" xfId="0">
      <alignment vertical="center"/>
    </xf>
    <xf numFmtId="0" fontId="0" fillId="0" borderId="1" xfId="0" applyBorder="1">
      <alignment vertical="center"/>
    </xf>
    <xf numFmtId="0" fontId="0" fillId="0" borderId="2" xfId="0" applyBorder="1">
      <alignment vertical="center"/>
    </xf>
    <xf numFmtId="176" fontId="0" fillId="0" borderId="0" xfId="0" applyNumberFormat="1">
      <alignment vertical="center"/>
    </xf>
    <xf numFmtId="0" fontId="0" fillId="0" borderId="0" xfId="0"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176" fontId="0" fillId="0" borderId="0" xfId="0" applyNumberFormat="1" applyAlignment="1"/>
    <xf numFmtId="177" fontId="0" fillId="0" borderId="0" xfId="0" applyNumberFormat="1" applyAlignment="1"/>
    <xf numFmtId="0" fontId="0" fillId="3" borderId="0" xfId="0" applyFill="1" applyAlignment="1"/>
    <xf numFmtId="0" fontId="0" fillId="3" borderId="0" xfId="0" applyFill="1">
      <alignment vertical="center"/>
    </xf>
    <xf numFmtId="0" fontId="9" fillId="3" borderId="0" xfId="0" applyFont="1" applyFill="1">
      <alignment vertical="center"/>
    </xf>
    <xf numFmtId="0" fontId="0" fillId="0" borderId="5" xfId="0" applyBorder="1">
      <alignment vertical="center"/>
    </xf>
    <xf numFmtId="0" fontId="3" fillId="0" borderId="5" xfId="0" applyFont="1" applyBorder="1">
      <alignment vertical="center"/>
    </xf>
    <xf numFmtId="0" fontId="10" fillId="0" borderId="0" xfId="0" applyFont="1">
      <alignment vertical="center"/>
    </xf>
    <xf numFmtId="0" fontId="0" fillId="0" borderId="6" xfId="0" applyBorder="1">
      <alignmen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7" xfId="0" applyBorder="1">
      <alignment vertical="center"/>
    </xf>
    <xf numFmtId="176" fontId="0" fillId="0" borderId="5" xfId="0" applyNumberFormat="1" applyBorder="1">
      <alignment vertical="center"/>
    </xf>
    <xf numFmtId="0" fontId="0" fillId="0" borderId="0" xfId="0" applyAlignment="1"/>
    <xf numFmtId="0" fontId="0" fillId="0" borderId="9" xfId="0" applyBorder="1">
      <alignment vertical="center"/>
    </xf>
    <xf numFmtId="0" fontId="3" fillId="0" borderId="10" xfId="0" applyFont="1" applyBorder="1">
      <alignment vertical="center"/>
    </xf>
    <xf numFmtId="0" fontId="3" fillId="0" borderId="11" xfId="0" applyFont="1" applyBorder="1">
      <alignment vertical="center"/>
    </xf>
    <xf numFmtId="177" fontId="0" fillId="0" borderId="6" xfId="0" applyNumberFormat="1" applyBorder="1" applyAlignment="1"/>
    <xf numFmtId="0" fontId="3" fillId="0" borderId="12" xfId="0" applyFont="1" applyBorder="1">
      <alignment vertical="center"/>
    </xf>
    <xf numFmtId="0" fontId="9" fillId="0" borderId="0" xfId="0" applyFont="1">
      <alignment vertical="center"/>
    </xf>
    <xf numFmtId="0" fontId="6" fillId="0" borderId="8" xfId="0" applyFont="1" applyBorder="1">
      <alignment vertical="center"/>
    </xf>
    <xf numFmtId="177" fontId="0" fillId="0" borderId="0" xfId="0" applyNumberFormat="1">
      <alignment vertical="center"/>
    </xf>
    <xf numFmtId="0" fontId="11" fillId="0" borderId="0" xfId="0" applyFont="1">
      <alignment vertical="center"/>
    </xf>
    <xf numFmtId="0" fontId="12" fillId="0" borderId="5" xfId="0" applyFont="1" applyBorder="1" applyAlignment="1">
      <alignment vertical="center" wrapText="1"/>
    </xf>
    <xf numFmtId="0" fontId="0" fillId="0" borderId="5" xfId="0" applyBorder="1" applyAlignment="1">
      <alignment vertical="center" wrapText="1"/>
    </xf>
    <xf numFmtId="14" fontId="0" fillId="0" borderId="0" xfId="0" applyNumberFormat="1">
      <alignment vertical="center"/>
    </xf>
    <xf numFmtId="178" fontId="0" fillId="0" borderId="0" xfId="0" applyNumberFormat="1">
      <alignment vertical="center"/>
    </xf>
    <xf numFmtId="0" fontId="0" fillId="0" borderId="0" xfId="0" applyAlignment="1">
      <alignment vertical="center" wrapText="1"/>
    </xf>
    <xf numFmtId="0" fontId="0" fillId="0" borderId="6" xfId="0" applyBorder="1" applyAlignment="1">
      <alignment vertical="center" wrapText="1"/>
    </xf>
    <xf numFmtId="0" fontId="12" fillId="0" borderId="6" xfId="0" applyFont="1" applyBorder="1" applyAlignment="1">
      <alignment vertical="center" wrapText="1"/>
    </xf>
    <xf numFmtId="0" fontId="0" fillId="7" borderId="0" xfId="0" applyFill="1">
      <alignment vertical="center"/>
    </xf>
    <xf numFmtId="0" fontId="9" fillId="7" borderId="0" xfId="0" applyFont="1" applyFill="1">
      <alignment vertical="center"/>
    </xf>
    <xf numFmtId="0" fontId="3" fillId="7" borderId="0" xfId="0" applyFont="1" applyFill="1">
      <alignment vertical="center"/>
    </xf>
    <xf numFmtId="0" fontId="6" fillId="7" borderId="0" xfId="0" applyFont="1" applyFill="1">
      <alignment vertical="center"/>
    </xf>
    <xf numFmtId="176" fontId="0" fillId="7" borderId="3" xfId="0" applyNumberFormat="1" applyFill="1" applyBorder="1">
      <alignment vertical="center"/>
    </xf>
    <xf numFmtId="0" fontId="0" fillId="7" borderId="3" xfId="0" applyFill="1" applyBorder="1">
      <alignment vertical="center"/>
    </xf>
    <xf numFmtId="0" fontId="12" fillId="7" borderId="3" xfId="0" applyFont="1" applyFill="1" applyBorder="1">
      <alignment vertical="center"/>
    </xf>
    <xf numFmtId="176" fontId="0" fillId="7" borderId="0" xfId="0" applyNumberFormat="1" applyFill="1">
      <alignment vertical="center"/>
    </xf>
    <xf numFmtId="177" fontId="12" fillId="7" borderId="3" xfId="0" applyNumberFormat="1" applyFont="1" applyFill="1" applyBorder="1">
      <alignment vertical="center"/>
    </xf>
    <xf numFmtId="176" fontId="0" fillId="7" borderId="4" xfId="0" applyNumberFormat="1" applyFill="1" applyBorder="1">
      <alignment vertical="center"/>
    </xf>
    <xf numFmtId="0" fontId="0" fillId="7" borderId="5" xfId="0" applyFill="1" applyBorder="1">
      <alignment vertical="center"/>
    </xf>
    <xf numFmtId="0" fontId="0" fillId="7" borderId="5" xfId="0" applyFill="1" applyBorder="1" applyAlignment="1">
      <alignment vertical="center" wrapText="1"/>
    </xf>
    <xf numFmtId="0" fontId="12" fillId="7" borderId="5" xfId="0" applyFont="1" applyFill="1" applyBorder="1" applyAlignment="1">
      <alignment vertical="center" wrapText="1"/>
    </xf>
    <xf numFmtId="177" fontId="0" fillId="7" borderId="3" xfId="0" applyNumberFormat="1" applyFill="1" applyBorder="1">
      <alignment vertical="center"/>
    </xf>
    <xf numFmtId="0" fontId="7" fillId="7" borderId="0" xfId="0" applyFont="1" applyFill="1">
      <alignment vertical="center"/>
    </xf>
    <xf numFmtId="0" fontId="0" fillId="7" borderId="0" xfId="0" applyFill="1" applyAlignment="1">
      <alignment horizontal="center" vertical="center"/>
    </xf>
    <xf numFmtId="0" fontId="0" fillId="9" borderId="0" xfId="0" applyFill="1">
      <alignment vertical="center"/>
    </xf>
    <xf numFmtId="0" fontId="0" fillId="9" borderId="5" xfId="0" applyFill="1" applyBorder="1">
      <alignment vertical="center"/>
    </xf>
    <xf numFmtId="0" fontId="0" fillId="9" borderId="0" xfId="0" applyFill="1" applyAlignment="1">
      <alignment horizontal="right" vertical="center"/>
    </xf>
    <xf numFmtId="0" fontId="2" fillId="9" borderId="0" xfId="0" applyFont="1" applyFill="1">
      <alignment vertical="center"/>
    </xf>
    <xf numFmtId="0" fontId="17" fillId="0" borderId="0" xfId="0" applyFont="1">
      <alignment vertical="center"/>
    </xf>
    <xf numFmtId="0" fontId="0" fillId="9" borderId="0" xfId="0" applyFill="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17" fillId="7" borderId="0" xfId="0" applyFont="1" applyFill="1">
      <alignment vertical="center"/>
    </xf>
    <xf numFmtId="0" fontId="18" fillId="7" borderId="0" xfId="0" applyFont="1" applyFill="1">
      <alignment vertical="center"/>
    </xf>
    <xf numFmtId="0" fontId="0" fillId="7" borderId="9" xfId="0" applyFill="1" applyBorder="1">
      <alignment vertical="center"/>
    </xf>
    <xf numFmtId="0" fontId="17" fillId="7" borderId="9" xfId="0" applyFont="1" applyFill="1" applyBorder="1">
      <alignment vertical="center"/>
    </xf>
    <xf numFmtId="0" fontId="0" fillId="7" borderId="10" xfId="0" applyFill="1" applyBorder="1">
      <alignment vertical="center"/>
    </xf>
    <xf numFmtId="0" fontId="0" fillId="7" borderId="18" xfId="0" applyFill="1" applyBorder="1">
      <alignment vertical="center"/>
    </xf>
    <xf numFmtId="0" fontId="19" fillId="7" borderId="0" xfId="0" applyFont="1" applyFill="1">
      <alignment vertical="center"/>
    </xf>
    <xf numFmtId="0" fontId="2" fillId="7" borderId="3" xfId="0" applyFont="1" applyFill="1" applyBorder="1">
      <alignment vertical="center"/>
    </xf>
    <xf numFmtId="0" fontId="6" fillId="9" borderId="0" xfId="0" applyFont="1" applyFill="1">
      <alignment vertical="center"/>
    </xf>
    <xf numFmtId="0" fontId="0" fillId="7" borderId="3" xfId="0" applyFill="1" applyBorder="1" applyAlignment="1">
      <alignment vertical="center" wrapText="1"/>
    </xf>
    <xf numFmtId="0" fontId="13" fillId="9" borderId="0" xfId="0" applyFont="1" applyFill="1">
      <alignment vertical="center"/>
    </xf>
    <xf numFmtId="0" fontId="12" fillId="9" borderId="0" xfId="0" applyFont="1" applyFill="1">
      <alignment vertical="center"/>
    </xf>
    <xf numFmtId="0" fontId="6" fillId="5" borderId="0" xfId="0" applyFont="1" applyFill="1">
      <alignment vertical="center"/>
    </xf>
    <xf numFmtId="0" fontId="12" fillId="5" borderId="0" xfId="0" applyFont="1" applyFill="1">
      <alignment vertical="center"/>
    </xf>
    <xf numFmtId="0" fontId="6" fillId="9" borderId="0" xfId="0" applyFont="1" applyFill="1" applyAlignment="1">
      <alignment vertical="center" wrapText="1"/>
    </xf>
    <xf numFmtId="0" fontId="6" fillId="2" borderId="3" xfId="0" applyFont="1" applyFill="1" applyBorder="1">
      <alignment vertical="center"/>
    </xf>
    <xf numFmtId="0" fontId="6" fillId="4" borderId="3" xfId="0" applyFont="1" applyFill="1" applyBorder="1">
      <alignment vertical="center"/>
    </xf>
    <xf numFmtId="0" fontId="6" fillId="10" borderId="3" xfId="0" applyFont="1" applyFill="1" applyBorder="1">
      <alignment vertical="center"/>
    </xf>
    <xf numFmtId="0" fontId="6" fillId="6" borderId="3" xfId="0" applyFont="1" applyFill="1" applyBorder="1">
      <alignment vertical="center"/>
    </xf>
    <xf numFmtId="177" fontId="6" fillId="9" borderId="0" xfId="0" applyNumberFormat="1" applyFont="1" applyFill="1">
      <alignment vertical="center"/>
    </xf>
    <xf numFmtId="0" fontId="6" fillId="9" borderId="0" xfId="0" applyFont="1" applyFill="1" applyAlignment="1">
      <alignment horizontal="center" vertical="center"/>
    </xf>
    <xf numFmtId="0" fontId="6" fillId="0" borderId="3" xfId="0" applyFont="1" applyBorder="1">
      <alignment vertical="center"/>
    </xf>
    <xf numFmtId="0" fontId="6" fillId="9" borderId="0" xfId="0" applyFont="1" applyFill="1" applyAlignment="1">
      <alignment horizontal="center" vertical="center" wrapText="1"/>
    </xf>
    <xf numFmtId="0" fontId="6" fillId="6" borderId="3" xfId="0" applyFont="1" applyFill="1" applyBorder="1" applyAlignment="1">
      <alignment horizontal="center" vertical="center"/>
    </xf>
    <xf numFmtId="176" fontId="6" fillId="6" borderId="3" xfId="0" applyNumberFormat="1" applyFont="1" applyFill="1" applyBorder="1" applyAlignment="1">
      <alignment horizontal="center" vertical="center"/>
    </xf>
    <xf numFmtId="177" fontId="6" fillId="6" borderId="3" xfId="0" applyNumberFormat="1" applyFont="1" applyFill="1" applyBorder="1" applyAlignment="1">
      <alignment horizontal="center" vertical="center"/>
    </xf>
    <xf numFmtId="0" fontId="12" fillId="7" borderId="0" xfId="0" applyFont="1" applyFill="1">
      <alignment vertical="center"/>
    </xf>
    <xf numFmtId="177" fontId="12" fillId="7" borderId="0" xfId="0" applyNumberFormat="1" applyFont="1" applyFill="1">
      <alignment vertical="center"/>
    </xf>
    <xf numFmtId="38" fontId="0" fillId="9" borderId="3" xfId="1" applyFont="1" applyFill="1" applyBorder="1">
      <alignment vertical="center"/>
    </xf>
    <xf numFmtId="0" fontId="6" fillId="10" borderId="3" xfId="0" applyFont="1" applyFill="1" applyBorder="1" applyAlignment="1">
      <alignment horizontal="center" vertical="center"/>
    </xf>
    <xf numFmtId="0" fontId="6"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0" borderId="3" xfId="0" applyFont="1" applyBorder="1" applyProtection="1">
      <alignment vertical="center"/>
      <protection locked="0"/>
    </xf>
    <xf numFmtId="0" fontId="6" fillId="4"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5" fillId="8" borderId="3" xfId="0" applyFont="1" applyFill="1" applyBorder="1">
      <alignment vertical="center"/>
    </xf>
    <xf numFmtId="0" fontId="25" fillId="8" borderId="3" xfId="0" applyFont="1" applyFill="1" applyBorder="1" applyAlignment="1">
      <alignment horizontal="center" vertical="center"/>
    </xf>
    <xf numFmtId="0" fontId="16" fillId="9" borderId="3" xfId="0" applyFont="1" applyFill="1" applyBorder="1" applyAlignment="1">
      <alignment horizontal="center" vertical="center"/>
    </xf>
    <xf numFmtId="0" fontId="21" fillId="9" borderId="3" xfId="0" applyFont="1" applyFill="1" applyBorder="1" applyAlignment="1">
      <alignment horizontal="center" vertical="center"/>
    </xf>
    <xf numFmtId="0" fontId="21" fillId="4" borderId="3" xfId="0" applyFont="1" applyFill="1" applyBorder="1" applyAlignment="1">
      <alignment horizontal="center" vertical="center"/>
    </xf>
    <xf numFmtId="38" fontId="21" fillId="4" borderId="3" xfId="1" applyFont="1" applyFill="1" applyBorder="1" applyAlignment="1">
      <alignment horizontal="center" vertical="center"/>
    </xf>
    <xf numFmtId="38" fontId="21" fillId="9" borderId="3" xfId="1" applyFont="1" applyFill="1" applyBorder="1" applyAlignment="1">
      <alignment horizontal="center" vertical="center"/>
    </xf>
    <xf numFmtId="0" fontId="6" fillId="0" borderId="0" xfId="0" applyFont="1">
      <alignment vertical="center"/>
    </xf>
    <xf numFmtId="0" fontId="12" fillId="9" borderId="3" xfId="0" applyFont="1" applyFill="1" applyBorder="1" applyAlignment="1">
      <alignment horizontal="left" vertical="top" wrapText="1"/>
    </xf>
    <xf numFmtId="0" fontId="12" fillId="7" borderId="0" xfId="0" applyFont="1" applyFill="1" applyAlignment="1">
      <alignment horizontal="center" vertical="center"/>
    </xf>
    <xf numFmtId="38" fontId="0" fillId="7" borderId="0" xfId="0" applyNumberFormat="1" applyFill="1">
      <alignment vertical="center"/>
    </xf>
    <xf numFmtId="0" fontId="21" fillId="9" borderId="13" xfId="0" applyFont="1" applyFill="1" applyBorder="1" applyAlignment="1">
      <alignment horizontal="center" vertical="center"/>
    </xf>
    <xf numFmtId="38" fontId="21" fillId="9" borderId="13" xfId="1" applyFont="1" applyFill="1" applyBorder="1" applyAlignment="1">
      <alignment horizontal="center" vertical="center"/>
    </xf>
    <xf numFmtId="0" fontId="27" fillId="0" borderId="0" xfId="2">
      <alignment vertical="center"/>
    </xf>
    <xf numFmtId="0" fontId="21" fillId="0" borderId="3" xfId="0" applyFont="1" applyBorder="1" applyAlignment="1">
      <alignment horizontal="center" vertical="center" wrapText="1"/>
    </xf>
    <xf numFmtId="0" fontId="21" fillId="9" borderId="3" xfId="0" applyFont="1" applyFill="1" applyBorder="1" applyAlignment="1">
      <alignment horizontal="center" vertical="center" wrapText="1"/>
    </xf>
    <xf numFmtId="0" fontId="28" fillId="7" borderId="3" xfId="0" applyFont="1" applyFill="1" applyBorder="1">
      <alignment vertical="center"/>
    </xf>
    <xf numFmtId="0" fontId="2" fillId="7" borderId="14" xfId="0" applyFont="1" applyFill="1" applyBorder="1">
      <alignment vertical="center"/>
    </xf>
    <xf numFmtId="176" fontId="0" fillId="7" borderId="17" xfId="0" applyNumberFormat="1" applyFill="1" applyBorder="1">
      <alignment vertical="center"/>
    </xf>
    <xf numFmtId="0" fontId="6" fillId="2" borderId="0" xfId="0" applyFont="1" applyFill="1" applyAlignment="1">
      <alignment horizontal="left" vertical="center"/>
    </xf>
    <xf numFmtId="0" fontId="29" fillId="7" borderId="0" xfId="0" applyFont="1" applyFill="1">
      <alignment vertical="center"/>
    </xf>
    <xf numFmtId="2" fontId="0" fillId="0" borderId="0" xfId="0" applyNumberFormat="1">
      <alignment vertical="center"/>
    </xf>
    <xf numFmtId="1" fontId="0" fillId="0" borderId="0" xfId="0" applyNumberFormat="1">
      <alignment vertical="center"/>
    </xf>
    <xf numFmtId="0" fontId="6" fillId="9" borderId="3" xfId="0" applyFont="1" applyFill="1" applyBorder="1" applyAlignment="1">
      <alignment horizontal="center" vertical="center"/>
    </xf>
    <xf numFmtId="0" fontId="0" fillId="9" borderId="6" xfId="0" applyFill="1" applyBorder="1">
      <alignment vertical="center"/>
    </xf>
    <xf numFmtId="0" fontId="0" fillId="9" borderId="0" xfId="0" applyFill="1" applyAlignment="1">
      <alignment vertical="center" wrapText="1"/>
    </xf>
    <xf numFmtId="0" fontId="26" fillId="9" borderId="0" xfId="0" applyFont="1" applyFill="1">
      <alignment vertical="center"/>
    </xf>
    <xf numFmtId="0" fontId="27" fillId="9" borderId="0" xfId="2" applyFill="1">
      <alignment vertical="center"/>
    </xf>
    <xf numFmtId="0" fontId="6" fillId="9" borderId="5" xfId="0" applyFont="1" applyFill="1" applyBorder="1">
      <alignment vertical="center"/>
    </xf>
    <xf numFmtId="0" fontId="0" fillId="9" borderId="5" xfId="0" applyFill="1" applyBorder="1" applyAlignment="1">
      <alignment horizontal="center" vertical="center"/>
    </xf>
    <xf numFmtId="0" fontId="0" fillId="9" borderId="0" xfId="0" applyFill="1" applyAlignment="1">
      <alignment horizontal="left" vertical="center" wrapText="1"/>
    </xf>
    <xf numFmtId="0" fontId="0" fillId="9" borderId="0" xfId="0" applyFill="1" applyAlignment="1">
      <alignment horizontal="left" vertical="center"/>
    </xf>
    <xf numFmtId="177" fontId="0" fillId="9" borderId="0" xfId="0" applyNumberFormat="1" applyFill="1" applyAlignment="1">
      <alignment horizontal="center" vertical="center"/>
    </xf>
    <xf numFmtId="0" fontId="0" fillId="9" borderId="5" xfId="0" applyFill="1" applyBorder="1" applyAlignment="1">
      <alignment horizontal="left" vertical="center" wrapText="1"/>
    </xf>
    <xf numFmtId="0" fontId="0" fillId="9" borderId="5" xfId="0" applyFill="1" applyBorder="1" applyAlignment="1">
      <alignment horizontal="left" vertical="center"/>
    </xf>
    <xf numFmtId="177" fontId="0" fillId="9" borderId="5" xfId="0" applyNumberFormat="1" applyFill="1" applyBorder="1" applyAlignment="1">
      <alignment horizontal="center" vertical="center"/>
    </xf>
    <xf numFmtId="177" fontId="0" fillId="9" borderId="0" xfId="0" applyNumberFormat="1" applyFill="1" applyAlignment="1"/>
    <xf numFmtId="0" fontId="0" fillId="9" borderId="5" xfId="0" applyFill="1" applyBorder="1" applyAlignment="1">
      <alignment vertical="center" wrapText="1"/>
    </xf>
    <xf numFmtId="176" fontId="0" fillId="9" borderId="0" xfId="0" applyNumberFormat="1" applyFill="1" applyAlignment="1">
      <alignment horizontal="center" vertical="center"/>
    </xf>
    <xf numFmtId="0" fontId="9" fillId="9" borderId="0" xfId="0" applyFont="1" applyFill="1">
      <alignment vertical="center"/>
    </xf>
    <xf numFmtId="0" fontId="9" fillId="9" borderId="5" xfId="0" applyFont="1" applyFill="1" applyBorder="1">
      <alignment vertical="center"/>
    </xf>
    <xf numFmtId="176" fontId="0" fillId="9" borderId="5" xfId="0" applyNumberFormat="1" applyFill="1" applyBorder="1" applyAlignment="1">
      <alignment horizontal="center" vertical="center"/>
    </xf>
    <xf numFmtId="0" fontId="0" fillId="9" borderId="0" xfId="0" applyFill="1" applyAlignment="1"/>
    <xf numFmtId="0" fontId="0" fillId="9" borderId="5" xfId="0" applyFill="1" applyBorder="1" applyAlignment="1"/>
    <xf numFmtId="0" fontId="10" fillId="9" borderId="0" xfId="0" applyFont="1" applyFill="1">
      <alignment vertical="center"/>
    </xf>
    <xf numFmtId="0" fontId="0" fillId="9" borderId="0" xfId="0" applyFill="1" applyAlignment="1">
      <alignment horizontal="center"/>
    </xf>
    <xf numFmtId="177" fontId="0" fillId="9" borderId="0" xfId="0" applyNumberFormat="1" applyFill="1" applyAlignment="1">
      <alignment horizontal="center"/>
    </xf>
    <xf numFmtId="0" fontId="0" fillId="9" borderId="5" xfId="0" applyFill="1" applyBorder="1" applyAlignment="1">
      <alignment horizontal="center"/>
    </xf>
    <xf numFmtId="177" fontId="0" fillId="9" borderId="5" xfId="0" applyNumberFormat="1" applyFill="1" applyBorder="1" applyAlignment="1">
      <alignment horizontal="center"/>
    </xf>
    <xf numFmtId="177" fontId="0" fillId="9" borderId="0" xfId="1" applyNumberFormat="1" applyFont="1" applyFill="1" applyAlignment="1">
      <alignment horizontal="center" vertical="center"/>
    </xf>
    <xf numFmtId="177" fontId="0" fillId="9" borderId="5" xfId="1" applyNumberFormat="1" applyFont="1" applyFill="1" applyBorder="1" applyAlignment="1">
      <alignment horizontal="center" vertical="center"/>
    </xf>
    <xf numFmtId="0" fontId="0" fillId="9" borderId="6" xfId="0" applyFill="1" applyBorder="1" applyAlignment="1">
      <alignment horizontal="center" vertical="center"/>
    </xf>
    <xf numFmtId="2" fontId="0" fillId="9" borderId="0" xfId="0" applyNumberFormat="1" applyFill="1">
      <alignment vertical="center"/>
    </xf>
    <xf numFmtId="1" fontId="0" fillId="9" borderId="0" xfId="0" applyNumberFormat="1" applyFill="1">
      <alignment vertical="center"/>
    </xf>
    <xf numFmtId="38" fontId="0" fillId="9" borderId="5" xfId="1" applyFont="1" applyFill="1" applyBorder="1">
      <alignment vertical="center"/>
    </xf>
    <xf numFmtId="0" fontId="12" fillId="2" borderId="3" xfId="0" applyFont="1" applyFill="1" applyBorder="1" applyAlignment="1" applyProtection="1">
      <alignment horizontal="left" vertical="top" wrapText="1"/>
      <protection locked="0"/>
    </xf>
    <xf numFmtId="179" fontId="29" fillId="2" borderId="0" xfId="0" applyNumberFormat="1" applyFont="1" applyFill="1" applyProtection="1">
      <alignment vertical="center"/>
      <protection locked="0"/>
    </xf>
    <xf numFmtId="0" fontId="0" fillId="2" borderId="0" xfId="0" applyFill="1">
      <alignment vertical="center"/>
    </xf>
    <xf numFmtId="0" fontId="6" fillId="2" borderId="0" xfId="0" applyFont="1" applyFill="1">
      <alignment vertical="center"/>
    </xf>
    <xf numFmtId="0" fontId="0" fillId="2" borderId="0" xfId="0" applyFill="1" applyAlignment="1">
      <alignment vertical="center" wrapText="1"/>
    </xf>
    <xf numFmtId="0" fontId="0" fillId="2" borderId="0" xfId="0" applyFill="1" applyAlignment="1">
      <alignment horizontal="right" vertical="center"/>
    </xf>
    <xf numFmtId="0" fontId="0" fillId="2" borderId="0" xfId="0" applyFill="1" applyAlignment="1">
      <alignment horizontal="center" vertical="center"/>
    </xf>
    <xf numFmtId="0" fontId="6" fillId="9" borderId="0" xfId="0" applyFont="1" applyFill="1" applyProtection="1">
      <alignment vertical="center"/>
      <protection locked="0"/>
    </xf>
    <xf numFmtId="0" fontId="6" fillId="9" borderId="0" xfId="0" applyFont="1" applyFill="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Protection="1">
      <alignment vertical="center"/>
      <protection locked="0"/>
    </xf>
    <xf numFmtId="0" fontId="6" fillId="9" borderId="5" xfId="0" applyFont="1" applyFill="1" applyBorder="1" applyAlignment="1" applyProtection="1">
      <alignment horizontal="center" vertical="center"/>
      <protection locked="0"/>
    </xf>
    <xf numFmtId="0" fontId="6" fillId="9" borderId="5" xfId="0" applyFont="1" applyFill="1" applyBorder="1" applyProtection="1">
      <alignment vertical="center"/>
      <protection locked="0"/>
    </xf>
    <xf numFmtId="0" fontId="0" fillId="7" borderId="13" xfId="0" applyFill="1" applyBorder="1">
      <alignment vertical="center"/>
    </xf>
    <xf numFmtId="0" fontId="28" fillId="7" borderId="13" xfId="0" applyFont="1" applyFill="1" applyBorder="1">
      <alignment vertical="center"/>
    </xf>
    <xf numFmtId="0" fontId="6" fillId="7" borderId="5" xfId="0" applyFont="1" applyFill="1" applyBorder="1">
      <alignment vertical="center"/>
    </xf>
    <xf numFmtId="0" fontId="28" fillId="7" borderId="5" xfId="0" applyFont="1" applyFill="1" applyBorder="1">
      <alignment vertical="center"/>
    </xf>
    <xf numFmtId="0" fontId="31" fillId="7" borderId="3" xfId="0" applyFont="1" applyFill="1" applyBorder="1">
      <alignment vertical="center"/>
    </xf>
    <xf numFmtId="0" fontId="0" fillId="2" borderId="0" xfId="0" applyFill="1" applyAlignment="1">
      <alignment horizontal="center" vertical="center" wrapText="1"/>
    </xf>
    <xf numFmtId="0" fontId="0" fillId="2" borderId="0" xfId="0" applyFill="1" applyAlignment="1">
      <alignment horizontal="left" vertical="center"/>
    </xf>
    <xf numFmtId="0" fontId="12" fillId="2" borderId="0" xfId="0" applyFont="1" applyFill="1" applyAlignment="1">
      <alignment horizontal="right" vertical="center"/>
    </xf>
    <xf numFmtId="0" fontId="0" fillId="0" borderId="0" xfId="0" applyAlignment="1">
      <alignment horizontal="right" vertical="center"/>
    </xf>
    <xf numFmtId="0" fontId="17" fillId="9" borderId="0" xfId="0" applyFont="1" applyFill="1">
      <alignment vertical="center"/>
    </xf>
    <xf numFmtId="0" fontId="6" fillId="10" borderId="3" xfId="0" applyFont="1" applyFill="1" applyBorder="1" applyAlignment="1">
      <alignment horizontal="center" vertical="center" wrapText="1"/>
    </xf>
    <xf numFmtId="0" fontId="26" fillId="5" borderId="0" xfId="0" applyFont="1" applyFill="1">
      <alignment vertical="center"/>
    </xf>
    <xf numFmtId="178" fontId="0" fillId="0" borderId="5" xfId="0" applyNumberFormat="1" applyBorder="1">
      <alignment vertical="center"/>
    </xf>
    <xf numFmtId="14" fontId="0" fillId="0" borderId="5" xfId="0" applyNumberFormat="1" applyBorder="1">
      <alignment vertical="center"/>
    </xf>
    <xf numFmtId="0" fontId="21" fillId="9" borderId="0" xfId="0" applyFont="1" applyFill="1">
      <alignment vertical="center"/>
    </xf>
    <xf numFmtId="0" fontId="0" fillId="9" borderId="8"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9" xfId="0" applyFill="1" applyBorder="1" applyAlignment="1">
      <alignment horizontal="center" vertical="center" wrapText="1"/>
    </xf>
    <xf numFmtId="0" fontId="0" fillId="9" borderId="10" xfId="0" applyFill="1" applyBorder="1" applyAlignment="1">
      <alignment horizontal="center" vertical="center" wrapText="1"/>
    </xf>
    <xf numFmtId="0" fontId="0" fillId="9" borderId="7" xfId="0" applyFill="1" applyBorder="1" applyAlignment="1">
      <alignment horizontal="center" vertical="center" wrapText="1"/>
    </xf>
    <xf numFmtId="0" fontId="0" fillId="9" borderId="11" xfId="0" applyFill="1" applyBorder="1" applyAlignment="1">
      <alignment horizontal="center" vertical="center" wrapText="1"/>
    </xf>
    <xf numFmtId="0" fontId="0" fillId="9" borderId="20" xfId="0" applyFill="1" applyBorder="1" applyAlignment="1">
      <alignment horizontal="center" vertical="center"/>
    </xf>
    <xf numFmtId="0" fontId="0" fillId="9" borderId="21" xfId="0" applyFill="1" applyBorder="1" applyAlignment="1">
      <alignment horizontal="center" vertical="center"/>
    </xf>
    <xf numFmtId="0" fontId="0" fillId="9" borderId="16" xfId="0" applyFill="1" applyBorder="1" applyAlignment="1">
      <alignment horizontal="center" vertical="center" wrapText="1"/>
    </xf>
    <xf numFmtId="0" fontId="0" fillId="9" borderId="0" xfId="0" applyFill="1" applyAlignment="1">
      <alignment horizontal="center" vertical="center" wrapText="1"/>
    </xf>
    <xf numFmtId="0" fontId="0" fillId="9" borderId="5" xfId="0" applyFill="1" applyBorder="1" applyAlignment="1">
      <alignment horizontal="center" vertical="center" wrapText="1"/>
    </xf>
    <xf numFmtId="0" fontId="12" fillId="9" borderId="19" xfId="0" applyFont="1" applyFill="1" applyBorder="1" applyAlignment="1">
      <alignment horizontal="center" vertical="center" wrapText="1"/>
    </xf>
    <xf numFmtId="0" fontId="0" fillId="9" borderId="12" xfId="0" applyFill="1" applyBorder="1" applyAlignment="1">
      <alignment horizontal="center" vertical="center" wrapText="1"/>
    </xf>
    <xf numFmtId="0" fontId="12" fillId="9" borderId="12" xfId="0" applyFont="1" applyFill="1" applyBorder="1" applyAlignment="1">
      <alignment horizontal="center" vertical="center" wrapText="1"/>
    </xf>
    <xf numFmtId="0" fontId="0" fillId="9" borderId="19" xfId="0" applyFill="1" applyBorder="1" applyAlignment="1">
      <alignment horizontal="center" vertical="center"/>
    </xf>
    <xf numFmtId="0" fontId="0" fillId="9" borderId="6" xfId="0" applyFill="1" applyBorder="1" applyAlignment="1">
      <alignment horizontal="center" vertical="center"/>
    </xf>
    <xf numFmtId="0" fontId="0" fillId="9" borderId="12" xfId="0" applyFill="1" applyBorder="1" applyAlignment="1">
      <alignment horizontal="center" vertical="center"/>
    </xf>
    <xf numFmtId="0" fontId="6" fillId="9" borderId="10" xfId="0" applyFont="1" applyFill="1" applyBorder="1" applyAlignment="1">
      <alignment horizontal="center" vertical="center"/>
    </xf>
    <xf numFmtId="0" fontId="6" fillId="2" borderId="17"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0" fillId="11" borderId="8" xfId="0" applyFill="1" applyBorder="1" applyAlignment="1">
      <alignment horizontal="left" vertical="top" wrapText="1"/>
    </xf>
    <xf numFmtId="0" fontId="0" fillId="11" borderId="16" xfId="0" applyFill="1" applyBorder="1" applyAlignment="1">
      <alignment horizontal="left" vertical="top" wrapText="1"/>
    </xf>
    <xf numFmtId="0" fontId="0" fillId="11" borderId="15" xfId="0" applyFill="1" applyBorder="1" applyAlignment="1">
      <alignment horizontal="left" vertical="top" wrapText="1"/>
    </xf>
    <xf numFmtId="0" fontId="0" fillId="11" borderId="9" xfId="0" applyFill="1" applyBorder="1" applyAlignment="1">
      <alignment horizontal="left" vertical="top" wrapText="1"/>
    </xf>
    <xf numFmtId="0" fontId="0" fillId="11" borderId="0" xfId="0" applyFill="1" applyAlignment="1">
      <alignment horizontal="left" vertical="top" wrapText="1"/>
    </xf>
    <xf numFmtId="0" fontId="0" fillId="11" borderId="10" xfId="0" applyFill="1" applyBorder="1" applyAlignment="1">
      <alignment horizontal="left" vertical="top" wrapText="1"/>
    </xf>
    <xf numFmtId="0" fontId="0" fillId="11" borderId="7" xfId="0" applyFill="1" applyBorder="1" applyAlignment="1">
      <alignment horizontal="left" vertical="top" wrapText="1"/>
    </xf>
    <xf numFmtId="0" fontId="0" fillId="11" borderId="5" xfId="0" applyFill="1" applyBorder="1" applyAlignment="1">
      <alignment horizontal="left" vertical="top" wrapText="1"/>
    </xf>
    <xf numFmtId="0" fontId="0" fillId="11" borderId="11" xfId="0" applyFill="1" applyBorder="1" applyAlignment="1">
      <alignment horizontal="left" vertical="top" wrapText="1"/>
    </xf>
    <xf numFmtId="0" fontId="6" fillId="9" borderId="17"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4" borderId="19" xfId="0" applyFont="1" applyFill="1" applyBorder="1" applyAlignment="1" applyProtection="1">
      <alignment horizontal="center" vertical="center"/>
      <protection locked="0"/>
    </xf>
    <xf numFmtId="0" fontId="6" fillId="4" borderId="12" xfId="0" applyFont="1" applyFill="1" applyBorder="1" applyAlignment="1" applyProtection="1">
      <alignment horizontal="center" vertical="center"/>
      <protection locked="0"/>
    </xf>
    <xf numFmtId="177" fontId="0" fillId="0" borderId="0" xfId="0" applyNumberFormat="1" applyAlignment="1">
      <alignment horizontal="center" vertical="center" wrapText="1"/>
    </xf>
    <xf numFmtId="177" fontId="0" fillId="0" borderId="5" xfId="0" applyNumberFormat="1" applyBorder="1" applyAlignment="1">
      <alignment horizontal="center" vertical="center" wrapText="1"/>
    </xf>
    <xf numFmtId="0" fontId="2" fillId="9" borderId="10" xfId="0" applyFont="1" applyFill="1" applyBorder="1">
      <alignment vertical="center"/>
    </xf>
    <xf numFmtId="0" fontId="12" fillId="9" borderId="10" xfId="0" applyFont="1" applyFill="1" applyBorder="1">
      <alignment vertical="center"/>
    </xf>
    <xf numFmtId="0" fontId="0" fillId="9" borderId="10" xfId="0" applyFill="1" applyBorder="1">
      <alignment vertical="center"/>
    </xf>
    <xf numFmtId="0" fontId="0" fillId="9" borderId="11" xfId="0" applyFill="1" applyBorder="1">
      <alignment vertical="center"/>
    </xf>
  </cellXfs>
  <cellStyles count="3">
    <cellStyle name="ハイパーリンク" xfId="2" builtinId="8"/>
    <cellStyle name="桁区切り" xfId="1" builtinId="6"/>
    <cellStyle name="標準" xfId="0" builtinId="0"/>
  </cellStyles>
  <dxfs count="36">
    <dxf>
      <fill>
        <patternFill>
          <bgColor theme="7" tint="0.79998168889431442"/>
        </patternFill>
      </fill>
    </dxf>
    <dxf>
      <fill>
        <patternFill>
          <bgColor theme="9" tint="0.59996337778862885"/>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0" tint="-0.14996795556505021"/>
        </patternFill>
      </fill>
    </dxf>
    <dxf>
      <fill>
        <patternFill>
          <bgColor theme="7" tint="0.79998168889431442"/>
        </patternFill>
      </fill>
    </dxf>
    <dxf>
      <fill>
        <patternFill>
          <bgColor theme="6" tint="0.59996337778862885"/>
        </patternFill>
      </fill>
    </dxf>
    <dxf>
      <fill>
        <patternFill>
          <bgColor theme="6" tint="0.59996337778862885"/>
        </patternFill>
      </fill>
    </dxf>
    <dxf>
      <fill>
        <patternFill>
          <bgColor theme="7" tint="0.79998168889431442"/>
        </patternFill>
      </fill>
    </dxf>
    <dxf>
      <fill>
        <patternFill>
          <bgColor theme="9" tint="0.59996337778862885"/>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0" tint="-0.14996795556505021"/>
        </patternFill>
      </fill>
    </dxf>
    <dxf>
      <fill>
        <patternFill>
          <bgColor theme="7" tint="0.79998168889431442"/>
        </patternFill>
      </fill>
    </dxf>
    <dxf>
      <fill>
        <patternFill>
          <bgColor theme="6" tint="0.59996337778862885"/>
        </patternFill>
      </fill>
    </dxf>
    <dxf>
      <fill>
        <patternFill>
          <bgColor theme="6" tint="0.59996337778862885"/>
        </patternFill>
      </fill>
    </dxf>
    <dxf>
      <fill>
        <patternFill>
          <bgColor theme="7" tint="0.79998168889431442"/>
        </patternFill>
      </fill>
    </dxf>
    <dxf>
      <fill>
        <patternFill>
          <bgColor theme="9" tint="0.59996337778862885"/>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0" tint="-0.14996795556505021"/>
        </patternFill>
      </fill>
    </dxf>
    <dxf>
      <fill>
        <patternFill>
          <bgColor theme="7" tint="0.79998168889431442"/>
        </patternFill>
      </fill>
    </dxf>
    <dxf>
      <fill>
        <patternFill>
          <bgColor theme="6" tint="0.59996337778862885"/>
        </patternFill>
      </fill>
    </dxf>
    <dxf>
      <fill>
        <patternFill>
          <bgColor theme="6" tint="0.59996337778862885"/>
        </patternFill>
      </fill>
    </dxf>
    <dxf>
      <fill>
        <patternFill>
          <bgColor theme="7" tint="0.79998168889431442"/>
        </patternFill>
      </fill>
    </dxf>
    <dxf>
      <fill>
        <patternFill>
          <bgColor theme="9" tint="0.59996337778862885"/>
        </patternFill>
      </fill>
    </dxf>
    <dxf>
      <fill>
        <patternFill>
          <bgColor theme="6" tint="0.59996337778862885"/>
        </patternFill>
      </fill>
    </dxf>
    <dxf>
      <fill>
        <patternFill>
          <bgColor theme="7" tint="0.79998168889431442"/>
        </patternFill>
      </fill>
    </dxf>
    <dxf>
      <fill>
        <patternFill>
          <bgColor theme="6" tint="0.59996337778862885"/>
        </patternFill>
      </fill>
    </dxf>
    <dxf>
      <fill>
        <patternFill>
          <bgColor theme="0" tint="-0.14996795556505021"/>
        </patternFill>
      </fill>
    </dxf>
    <dxf>
      <fill>
        <patternFill>
          <bgColor theme="7" tint="0.79998168889431442"/>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mn-lt"/>
                <a:ea typeface="+mn-ea"/>
                <a:cs typeface="+mn-cs"/>
              </a:defRPr>
            </a:pPr>
            <a:r>
              <a:rPr lang="ja-JP" altLang="en-US"/>
              <a:t>各シナリオにおける初期コストの内訳</a:t>
            </a:r>
            <a:endParaRPr lang="ja-JP"/>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stacked"/>
        <c:varyColors val="0"/>
        <c:ser>
          <c:idx val="0"/>
          <c:order val="0"/>
          <c:tx>
            <c:strRef>
              <c:f>比較評価!$C$53</c:f>
              <c:strCache>
                <c:ptCount val="1"/>
                <c:pt idx="0">
                  <c:v>取水設備</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比較評価!$D$53:$F$53</c:f>
            </c:numRef>
          </c:val>
          <c:extLst>
            <c:ext xmlns:c15="http://schemas.microsoft.com/office/drawing/2012/chart" uri="{02D57815-91ED-43cb-92C2-25804820EDAC}">
              <c15:filteredCategoryTitle>
                <c15:cat>
                  <c:multiLvlStrRef>
                    <c:extLst>
                      <c:ext uri="{02D57815-91ED-43cb-92C2-25804820EDAC}">
                        <c15:formulaRef>
                          <c15:sqref>比較評価!$D$52:$F$52</c15:sqref>
                        </c15:formulaRef>
                      </c:ext>
                    </c:extLst>
                  </c:multiLvlStrRef>
                </c15:cat>
              </c15:filteredCategoryTitle>
            </c:ext>
            <c:ext xmlns:c16="http://schemas.microsoft.com/office/drawing/2014/chart" uri="{C3380CC4-5D6E-409C-BE32-E72D297353CC}">
              <c16:uniqueId val="{00000000-AAF4-4B26-B8BA-40AFC58CD3C7}"/>
            </c:ext>
          </c:extLst>
        </c:ser>
        <c:ser>
          <c:idx val="1"/>
          <c:order val="1"/>
          <c:tx>
            <c:strRef>
              <c:f>比較評価!$C$54</c:f>
              <c:strCache>
                <c:ptCount val="1"/>
                <c:pt idx="0">
                  <c:v>浄水設備</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比較評価!$D$54:$F$54</c:f>
            </c:numRef>
          </c:val>
          <c:extLst>
            <c:ext xmlns:c15="http://schemas.microsoft.com/office/drawing/2012/chart" uri="{02D57815-91ED-43cb-92C2-25804820EDAC}">
              <c15:filteredCategoryTitle>
                <c15:cat>
                  <c:multiLvlStrRef>
                    <c:extLst>
                      <c:ext uri="{02D57815-91ED-43cb-92C2-25804820EDAC}">
                        <c15:formulaRef>
                          <c15:sqref>比較評価!$D$52:$F$52</c15:sqref>
                        </c15:formulaRef>
                      </c:ext>
                    </c:extLst>
                  </c:multiLvlStrRef>
                </c15:cat>
              </c15:filteredCategoryTitle>
            </c:ext>
            <c:ext xmlns:c16="http://schemas.microsoft.com/office/drawing/2014/chart" uri="{C3380CC4-5D6E-409C-BE32-E72D297353CC}">
              <c16:uniqueId val="{00000001-AAF4-4B26-B8BA-40AFC58CD3C7}"/>
            </c:ext>
          </c:extLst>
        </c:ser>
        <c:ser>
          <c:idx val="2"/>
          <c:order val="2"/>
          <c:tx>
            <c:strRef>
              <c:f>比較評価!$C$55</c:f>
              <c:strCache>
                <c:ptCount val="1"/>
                <c:pt idx="0">
                  <c:v>送配水設備</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比較評価!$D$55:$F$55</c:f>
            </c:numRef>
          </c:val>
          <c:extLst>
            <c:ext xmlns:c15="http://schemas.microsoft.com/office/drawing/2012/chart" uri="{02D57815-91ED-43cb-92C2-25804820EDAC}">
              <c15:filteredCategoryTitle>
                <c15:cat>
                  <c:multiLvlStrRef>
                    <c:extLst>
                      <c:ext uri="{02D57815-91ED-43cb-92C2-25804820EDAC}">
                        <c15:formulaRef>
                          <c15:sqref>比較評価!$D$52:$F$52</c15:sqref>
                        </c15:formulaRef>
                      </c:ext>
                    </c:extLst>
                  </c:multiLvlStrRef>
                </c15:cat>
              </c15:filteredCategoryTitle>
            </c:ext>
            <c:ext xmlns:c16="http://schemas.microsoft.com/office/drawing/2014/chart" uri="{C3380CC4-5D6E-409C-BE32-E72D297353CC}">
              <c16:uniqueId val="{00000002-AAF4-4B26-B8BA-40AFC58CD3C7}"/>
            </c:ext>
          </c:extLst>
        </c:ser>
        <c:ser>
          <c:idx val="3"/>
          <c:order val="3"/>
          <c:tx>
            <c:strRef>
              <c:f>比較評価!$C$56</c:f>
              <c:strCache>
                <c:ptCount val="1"/>
                <c:pt idx="0">
                  <c:v>配管</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比較評価!$D$56:$F$56</c:f>
            </c:numRef>
          </c:val>
          <c:extLst>
            <c:ext xmlns:c15="http://schemas.microsoft.com/office/drawing/2012/chart" uri="{02D57815-91ED-43cb-92C2-25804820EDAC}">
              <c15:filteredCategoryTitle>
                <c15:cat>
                  <c:multiLvlStrRef>
                    <c:extLst>
                      <c:ext uri="{02D57815-91ED-43cb-92C2-25804820EDAC}">
                        <c15:formulaRef>
                          <c15:sqref>比較評価!$D$52:$F$52</c15:sqref>
                        </c15:formulaRef>
                      </c:ext>
                    </c:extLst>
                  </c:multiLvlStrRef>
                </c15:cat>
              </c15:filteredCategoryTitle>
            </c:ext>
            <c:ext xmlns:c16="http://schemas.microsoft.com/office/drawing/2014/chart" uri="{C3380CC4-5D6E-409C-BE32-E72D297353CC}">
              <c16:uniqueId val="{00000003-AAF4-4B26-B8BA-40AFC58CD3C7}"/>
            </c:ext>
          </c:extLst>
        </c:ser>
        <c:dLbls>
          <c:showLegendKey val="0"/>
          <c:showVal val="0"/>
          <c:showCatName val="0"/>
          <c:showSerName val="0"/>
          <c:showPercent val="0"/>
          <c:showBubbleSize val="0"/>
        </c:dLbls>
        <c:gapWidth val="150"/>
        <c:overlap val="100"/>
        <c:axId val="1453259247"/>
        <c:axId val="1453261167"/>
      </c:barChart>
      <c:catAx>
        <c:axId val="145325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crossAx val="1453261167"/>
        <c:crosses val="autoZero"/>
        <c:auto val="1"/>
        <c:lblAlgn val="ctr"/>
        <c:lblOffset val="100"/>
        <c:noMultiLvlLbl val="0"/>
      </c:catAx>
      <c:valAx>
        <c:axId val="14532611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ja-JP"/>
                  <a:t>コスト（千円）</a:t>
                </a:r>
              </a:p>
            </c:rich>
          </c:tx>
          <c:layout>
            <c:manualLayout>
              <c:xMode val="edge"/>
              <c:yMode val="edge"/>
              <c:x val="1.775663759192031E-2"/>
              <c:y val="0.35010609740999471"/>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crossAx val="1453259247"/>
        <c:crosses val="autoZero"/>
        <c:crossBetween val="between"/>
      </c:valAx>
      <c:spPr>
        <a:noFill/>
        <a:ln>
          <a:noFill/>
        </a:ln>
        <a:effectLst/>
      </c:spPr>
    </c:plotArea>
    <c:legend>
      <c:legendPos val="b"/>
      <c:layout>
        <c:manualLayout>
          <c:xMode val="edge"/>
          <c:yMode val="edge"/>
          <c:x val="0.22923151044475604"/>
          <c:y val="0.93046068627924572"/>
          <c:w val="0.66354007118973146"/>
          <c:h val="5.5906048553746736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solidFill>
            <a:sysClr val="windowText" lastClr="000000"/>
          </a:solidFill>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C$6" lockText="1" noThreeD="1"/>
</file>

<file path=xl/ctrlProps/ctrlProp2.xml><?xml version="1.0" encoding="utf-8"?>
<formControlPr xmlns="http://schemas.microsoft.com/office/spreadsheetml/2009/9/main" objectType="CheckBox" checked="Checked" fmlaLink="$C$7" lockText="1" noThreeD="1"/>
</file>

<file path=xl/ctrlProps/ctrlProp3.xml><?xml version="1.0" encoding="utf-8"?>
<formControlPr xmlns="http://schemas.microsoft.com/office/spreadsheetml/2009/9/main" objectType="CheckBox" checked="Checked" fmlaLink="$C$7" lockText="1" noThreeD="1"/>
</file>

<file path=xl/ctrlProps/ctrlProp4.xml><?xml version="1.0" encoding="utf-8"?>
<formControlPr xmlns="http://schemas.microsoft.com/office/spreadsheetml/2009/9/main" objectType="CheckBox" checked="Checked" fmlaLink="$C$7" lockText="1" noThreeD="1"/>
</file>

<file path=xl/ctrlProps/ctrlProp5.xml><?xml version="1.0" encoding="utf-8"?>
<formControlPr xmlns="http://schemas.microsoft.com/office/spreadsheetml/2009/9/main" objectType="CheckBox" fmlaLink="$C$6" lockText="1" noThreeD="1"/>
</file>

<file path=xl/ctrlProps/ctrlProp6.xml><?xml version="1.0" encoding="utf-8"?>
<formControlPr xmlns="http://schemas.microsoft.com/office/spreadsheetml/2009/9/main" objectType="CheckBox" checked="Checked" fmlaLink="$C$7"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13</xdr:col>
      <xdr:colOff>103909</xdr:colOff>
      <xdr:row>0</xdr:row>
      <xdr:rowOff>121227</xdr:rowOff>
    </xdr:from>
    <xdr:to>
      <xdr:col>15</xdr:col>
      <xdr:colOff>554181</xdr:colOff>
      <xdr:row>2</xdr:row>
      <xdr:rowOff>69273</xdr:rowOff>
    </xdr:to>
    <xdr:sp macro="" textlink="">
      <xdr:nvSpPr>
        <xdr:cNvPr id="2" name="テキスト ボックス 1">
          <a:extLst>
            <a:ext uri="{FF2B5EF4-FFF2-40B4-BE49-F238E27FC236}">
              <a16:creationId xmlns:a16="http://schemas.microsoft.com/office/drawing/2014/main" id="{60CCA3F1-5064-AD1F-7C99-EC46D625B7C9}"/>
            </a:ext>
          </a:extLst>
        </xdr:cNvPr>
        <xdr:cNvSpPr txBox="1"/>
      </xdr:nvSpPr>
      <xdr:spPr>
        <a:xfrm>
          <a:off x="9074727" y="121227"/>
          <a:ext cx="1835727" cy="432955"/>
        </a:xfrm>
        <a:prstGeom prst="rect">
          <a:avLst/>
        </a:prstGeom>
        <a:solidFill>
          <a:schemeClr val="lt1"/>
        </a:solidFill>
        <a:ln w="285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lumMod val="50000"/>
                  <a:lumOff val="50000"/>
                </a:schemeClr>
              </a:solidFill>
            </a:rPr>
            <a:t>メンテナンス中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10245</xdr:colOff>
      <xdr:row>6</xdr:row>
      <xdr:rowOff>3361</xdr:rowOff>
    </xdr:from>
    <xdr:to>
      <xdr:col>3</xdr:col>
      <xdr:colOff>10245</xdr:colOff>
      <xdr:row>10</xdr:row>
      <xdr:rowOff>19050</xdr:rowOff>
    </xdr:to>
    <xdr:cxnSp macro="">
      <xdr:nvCxnSpPr>
        <xdr:cNvPr id="3" name="直線矢印コネクタ 2">
          <a:extLst>
            <a:ext uri="{FF2B5EF4-FFF2-40B4-BE49-F238E27FC236}">
              <a16:creationId xmlns:a16="http://schemas.microsoft.com/office/drawing/2014/main" id="{38A6CAAF-562A-2EB3-6405-0074288355B9}"/>
            </a:ext>
          </a:extLst>
        </xdr:cNvPr>
        <xdr:cNvCxnSpPr/>
      </xdr:nvCxnSpPr>
      <xdr:spPr>
        <a:xfrm>
          <a:off x="1697531" y="1881147"/>
          <a:ext cx="0" cy="777689"/>
        </a:xfrm>
        <a:prstGeom prst="straightConnector1">
          <a:avLst/>
        </a:prstGeom>
        <a:ln w="190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19771</xdr:colOff>
      <xdr:row>11</xdr:row>
      <xdr:rowOff>9525</xdr:rowOff>
    </xdr:from>
    <xdr:to>
      <xdr:col>3</xdr:col>
      <xdr:colOff>19771</xdr:colOff>
      <xdr:row>13</xdr:row>
      <xdr:rowOff>19050</xdr:rowOff>
    </xdr:to>
    <xdr:cxnSp macro="">
      <xdr:nvCxnSpPr>
        <xdr:cNvPr id="4" name="直線矢印コネクタ 3">
          <a:extLst>
            <a:ext uri="{FF2B5EF4-FFF2-40B4-BE49-F238E27FC236}">
              <a16:creationId xmlns:a16="http://schemas.microsoft.com/office/drawing/2014/main" id="{402E5E2B-7C4F-9048-8673-6D5556641237}"/>
            </a:ext>
          </a:extLst>
        </xdr:cNvPr>
        <xdr:cNvCxnSpPr/>
      </xdr:nvCxnSpPr>
      <xdr:spPr>
        <a:xfrm>
          <a:off x="1707057" y="3411311"/>
          <a:ext cx="0" cy="49938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19771</xdr:colOff>
      <xdr:row>14</xdr:row>
      <xdr:rowOff>0</xdr:rowOff>
    </xdr:from>
    <xdr:to>
      <xdr:col>3</xdr:col>
      <xdr:colOff>19771</xdr:colOff>
      <xdr:row>16</xdr:row>
      <xdr:rowOff>19050</xdr:rowOff>
    </xdr:to>
    <xdr:cxnSp macro="">
      <xdr:nvCxnSpPr>
        <xdr:cNvPr id="7" name="直線矢印コネクタ 6">
          <a:extLst>
            <a:ext uri="{FF2B5EF4-FFF2-40B4-BE49-F238E27FC236}">
              <a16:creationId xmlns:a16="http://schemas.microsoft.com/office/drawing/2014/main" id="{A1B08FBD-43A5-2E11-80DA-FF344FA35AE2}"/>
            </a:ext>
          </a:extLst>
        </xdr:cNvPr>
        <xdr:cNvCxnSpPr/>
      </xdr:nvCxnSpPr>
      <xdr:spPr>
        <a:xfrm>
          <a:off x="1707057" y="4136571"/>
          <a:ext cx="0" cy="508908"/>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19771</xdr:colOff>
      <xdr:row>19</xdr:row>
      <xdr:rowOff>0</xdr:rowOff>
    </xdr:from>
    <xdr:to>
      <xdr:col>3</xdr:col>
      <xdr:colOff>19771</xdr:colOff>
      <xdr:row>21</xdr:row>
      <xdr:rowOff>0</xdr:rowOff>
    </xdr:to>
    <xdr:cxnSp macro="">
      <xdr:nvCxnSpPr>
        <xdr:cNvPr id="8" name="直線矢印コネクタ 7">
          <a:extLst>
            <a:ext uri="{FF2B5EF4-FFF2-40B4-BE49-F238E27FC236}">
              <a16:creationId xmlns:a16="http://schemas.microsoft.com/office/drawing/2014/main" id="{64822F41-DA0E-8E1B-EF6C-F3BE75351D78}"/>
            </a:ext>
          </a:extLst>
        </xdr:cNvPr>
        <xdr:cNvCxnSpPr/>
      </xdr:nvCxnSpPr>
      <xdr:spPr>
        <a:xfrm>
          <a:off x="1707057" y="5361214"/>
          <a:ext cx="0" cy="47625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21771</xdr:colOff>
      <xdr:row>13</xdr:row>
      <xdr:rowOff>123825</xdr:rowOff>
    </xdr:from>
    <xdr:to>
      <xdr:col>4</xdr:col>
      <xdr:colOff>268942</xdr:colOff>
      <xdr:row>13</xdr:row>
      <xdr:rowOff>123825</xdr:rowOff>
    </xdr:to>
    <xdr:cxnSp macro="">
      <xdr:nvCxnSpPr>
        <xdr:cNvPr id="9" name="直線矢印コネクタ 8">
          <a:extLst>
            <a:ext uri="{FF2B5EF4-FFF2-40B4-BE49-F238E27FC236}">
              <a16:creationId xmlns:a16="http://schemas.microsoft.com/office/drawing/2014/main" id="{3418D65C-7D24-4FD7-D78A-0C7938FC8CA4}"/>
            </a:ext>
          </a:extLst>
        </xdr:cNvPr>
        <xdr:cNvCxnSpPr/>
      </xdr:nvCxnSpPr>
      <xdr:spPr>
        <a:xfrm flipH="1">
          <a:off x="2935300" y="3978649"/>
          <a:ext cx="247171" cy="0"/>
        </a:xfrm>
        <a:prstGeom prst="straightConnector1">
          <a:avLst/>
        </a:prstGeom>
        <a:ln w="1905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268221</xdr:colOff>
      <xdr:row>13</xdr:row>
      <xdr:rowOff>124239</xdr:rowOff>
    </xdr:from>
    <xdr:to>
      <xdr:col>4</xdr:col>
      <xdr:colOff>268221</xdr:colOff>
      <xdr:row>21</xdr:row>
      <xdr:rowOff>22412</xdr:rowOff>
    </xdr:to>
    <xdr:cxnSp macro="">
      <xdr:nvCxnSpPr>
        <xdr:cNvPr id="19" name="直線矢印コネクタ 18">
          <a:extLst>
            <a:ext uri="{FF2B5EF4-FFF2-40B4-BE49-F238E27FC236}">
              <a16:creationId xmlns:a16="http://schemas.microsoft.com/office/drawing/2014/main" id="{20A51F84-C688-D5CC-B593-1D3EED889E9B}"/>
            </a:ext>
          </a:extLst>
        </xdr:cNvPr>
        <xdr:cNvCxnSpPr/>
      </xdr:nvCxnSpPr>
      <xdr:spPr>
        <a:xfrm>
          <a:off x="3181750" y="3979063"/>
          <a:ext cx="0" cy="1769555"/>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653832</xdr:colOff>
      <xdr:row>6</xdr:row>
      <xdr:rowOff>939</xdr:rowOff>
    </xdr:from>
    <xdr:to>
      <xdr:col>9</xdr:col>
      <xdr:colOff>653832</xdr:colOff>
      <xdr:row>10</xdr:row>
      <xdr:rowOff>4740</xdr:rowOff>
    </xdr:to>
    <xdr:cxnSp macro="">
      <xdr:nvCxnSpPr>
        <xdr:cNvPr id="26" name="直線矢印コネクタ 25">
          <a:extLst>
            <a:ext uri="{FF2B5EF4-FFF2-40B4-BE49-F238E27FC236}">
              <a16:creationId xmlns:a16="http://schemas.microsoft.com/office/drawing/2014/main" id="{14817E95-2728-1753-7BEF-EFEB19B4C1A3}"/>
            </a:ext>
          </a:extLst>
        </xdr:cNvPr>
        <xdr:cNvCxnSpPr/>
      </xdr:nvCxnSpPr>
      <xdr:spPr>
        <a:xfrm>
          <a:off x="7859214" y="1849910"/>
          <a:ext cx="0" cy="765801"/>
        </a:xfrm>
        <a:prstGeom prst="straightConnector1">
          <a:avLst/>
        </a:prstGeom>
        <a:ln w="19050">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639536</xdr:colOff>
      <xdr:row>5</xdr:row>
      <xdr:rowOff>188302</xdr:rowOff>
    </xdr:from>
    <xdr:to>
      <xdr:col>6</xdr:col>
      <xdr:colOff>644769</xdr:colOff>
      <xdr:row>10</xdr:row>
      <xdr:rowOff>13607</xdr:rowOff>
    </xdr:to>
    <xdr:cxnSp macro="">
      <xdr:nvCxnSpPr>
        <xdr:cNvPr id="65" name="直線矢印コネクタ 64">
          <a:extLst>
            <a:ext uri="{FF2B5EF4-FFF2-40B4-BE49-F238E27FC236}">
              <a16:creationId xmlns:a16="http://schemas.microsoft.com/office/drawing/2014/main" id="{7C098E48-7960-D1D4-2CC7-1BA435425A7E}"/>
            </a:ext>
          </a:extLst>
        </xdr:cNvPr>
        <xdr:cNvCxnSpPr/>
      </xdr:nvCxnSpPr>
      <xdr:spPr>
        <a:xfrm flipH="1">
          <a:off x="4803322" y="1875588"/>
          <a:ext cx="5233" cy="777805"/>
        </a:xfrm>
        <a:prstGeom prst="straightConnector1">
          <a:avLst/>
        </a:prstGeom>
        <a:ln w="19050">
          <a:headEnd type="oval"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6162</xdr:colOff>
      <xdr:row>11</xdr:row>
      <xdr:rowOff>22412</xdr:rowOff>
    </xdr:from>
    <xdr:to>
      <xdr:col>7</xdr:col>
      <xdr:colOff>6162</xdr:colOff>
      <xdr:row>16</xdr:row>
      <xdr:rowOff>0</xdr:rowOff>
    </xdr:to>
    <xdr:cxnSp macro="">
      <xdr:nvCxnSpPr>
        <xdr:cNvPr id="91" name="直線矢印コネクタ 90">
          <a:extLst>
            <a:ext uri="{FF2B5EF4-FFF2-40B4-BE49-F238E27FC236}">
              <a16:creationId xmlns:a16="http://schemas.microsoft.com/office/drawing/2014/main" id="{B5382CCC-A7EB-3CBB-B9F3-75689C4CC04A}"/>
            </a:ext>
          </a:extLst>
        </xdr:cNvPr>
        <xdr:cNvCxnSpPr/>
      </xdr:nvCxnSpPr>
      <xdr:spPr>
        <a:xfrm>
          <a:off x="5295338" y="3395383"/>
          <a:ext cx="0" cy="116541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12566</xdr:colOff>
      <xdr:row>11</xdr:row>
      <xdr:rowOff>13607</xdr:rowOff>
    </xdr:from>
    <xdr:to>
      <xdr:col>13</xdr:col>
      <xdr:colOff>12566</xdr:colOff>
      <xdr:row>16</xdr:row>
      <xdr:rowOff>11206</xdr:rowOff>
    </xdr:to>
    <xdr:cxnSp macro="">
      <xdr:nvCxnSpPr>
        <xdr:cNvPr id="94" name="直線矢印コネクタ 93">
          <a:extLst>
            <a:ext uri="{FF2B5EF4-FFF2-40B4-BE49-F238E27FC236}">
              <a16:creationId xmlns:a16="http://schemas.microsoft.com/office/drawing/2014/main" id="{1CCBBC94-8AE5-D92A-5B7D-644B155F1C62}"/>
            </a:ext>
          </a:extLst>
        </xdr:cNvPr>
        <xdr:cNvCxnSpPr/>
      </xdr:nvCxnSpPr>
      <xdr:spPr>
        <a:xfrm>
          <a:off x="11306495" y="3415393"/>
          <a:ext cx="0" cy="122224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14967</xdr:colOff>
      <xdr:row>19</xdr:row>
      <xdr:rowOff>22411</xdr:rowOff>
    </xdr:from>
    <xdr:to>
      <xdr:col>10</xdr:col>
      <xdr:colOff>14967</xdr:colOff>
      <xdr:row>21</xdr:row>
      <xdr:rowOff>11206</xdr:rowOff>
    </xdr:to>
    <xdr:cxnSp macro="">
      <xdr:nvCxnSpPr>
        <xdr:cNvPr id="95" name="直線矢印コネクタ 94">
          <a:extLst>
            <a:ext uri="{FF2B5EF4-FFF2-40B4-BE49-F238E27FC236}">
              <a16:creationId xmlns:a16="http://schemas.microsoft.com/office/drawing/2014/main" id="{DDE53482-D131-F186-4B3F-57A766171754}"/>
            </a:ext>
          </a:extLst>
        </xdr:cNvPr>
        <xdr:cNvCxnSpPr/>
      </xdr:nvCxnSpPr>
      <xdr:spPr>
        <a:xfrm>
          <a:off x="8329732" y="5289176"/>
          <a:ext cx="0" cy="448236"/>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10965</xdr:colOff>
      <xdr:row>19</xdr:row>
      <xdr:rowOff>0</xdr:rowOff>
    </xdr:from>
    <xdr:to>
      <xdr:col>13</xdr:col>
      <xdr:colOff>10965</xdr:colOff>
      <xdr:row>29</xdr:row>
      <xdr:rowOff>13607</xdr:rowOff>
    </xdr:to>
    <xdr:cxnSp macro="">
      <xdr:nvCxnSpPr>
        <xdr:cNvPr id="97" name="直線矢印コネクタ 96">
          <a:extLst>
            <a:ext uri="{FF2B5EF4-FFF2-40B4-BE49-F238E27FC236}">
              <a16:creationId xmlns:a16="http://schemas.microsoft.com/office/drawing/2014/main" id="{685081D4-4014-6639-3931-FB340327E74A}"/>
            </a:ext>
          </a:extLst>
        </xdr:cNvPr>
        <xdr:cNvCxnSpPr/>
      </xdr:nvCxnSpPr>
      <xdr:spPr>
        <a:xfrm>
          <a:off x="11463377" y="5266765"/>
          <a:ext cx="0" cy="242287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11206</xdr:colOff>
      <xdr:row>6</xdr:row>
      <xdr:rowOff>1120</xdr:rowOff>
    </xdr:from>
    <xdr:to>
      <xdr:col>9</xdr:col>
      <xdr:colOff>649942</xdr:colOff>
      <xdr:row>6</xdr:row>
      <xdr:rowOff>1120</xdr:rowOff>
    </xdr:to>
    <xdr:cxnSp macro="">
      <xdr:nvCxnSpPr>
        <xdr:cNvPr id="101" name="直線矢印コネクタ 100">
          <a:extLst>
            <a:ext uri="{FF2B5EF4-FFF2-40B4-BE49-F238E27FC236}">
              <a16:creationId xmlns:a16="http://schemas.microsoft.com/office/drawing/2014/main" id="{6C048667-A142-51A4-E1DC-9CECD3FC45C9}"/>
            </a:ext>
          </a:extLst>
        </xdr:cNvPr>
        <xdr:cNvCxnSpPr/>
      </xdr:nvCxnSpPr>
      <xdr:spPr>
        <a:xfrm>
          <a:off x="1692088" y="1850091"/>
          <a:ext cx="6163236" cy="0"/>
        </a:xfrm>
        <a:prstGeom prst="straightConnector1">
          <a:avLst/>
        </a:prstGeom>
        <a:ln w="1905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10165</xdr:colOff>
      <xdr:row>19</xdr:row>
      <xdr:rowOff>0</xdr:rowOff>
    </xdr:from>
    <xdr:to>
      <xdr:col>7</xdr:col>
      <xdr:colOff>10165</xdr:colOff>
      <xdr:row>21</xdr:row>
      <xdr:rowOff>22412</xdr:rowOff>
    </xdr:to>
    <xdr:cxnSp macro="">
      <xdr:nvCxnSpPr>
        <xdr:cNvPr id="109" name="直線矢印コネクタ 108">
          <a:extLst>
            <a:ext uri="{FF2B5EF4-FFF2-40B4-BE49-F238E27FC236}">
              <a16:creationId xmlns:a16="http://schemas.microsoft.com/office/drawing/2014/main" id="{983C4F34-05B1-B06B-BF70-280BD0C05C73}"/>
            </a:ext>
          </a:extLst>
        </xdr:cNvPr>
        <xdr:cNvCxnSpPr/>
      </xdr:nvCxnSpPr>
      <xdr:spPr>
        <a:xfrm>
          <a:off x="5299341" y="5266765"/>
          <a:ext cx="0" cy="48185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1224920</xdr:colOff>
      <xdr:row>4</xdr:row>
      <xdr:rowOff>6569</xdr:rowOff>
    </xdr:from>
    <xdr:to>
      <xdr:col>12</xdr:col>
      <xdr:colOff>1235886</xdr:colOff>
      <xdr:row>10</xdr:row>
      <xdr:rowOff>0</xdr:rowOff>
    </xdr:to>
    <xdr:cxnSp macro="">
      <xdr:nvCxnSpPr>
        <xdr:cNvPr id="118" name="直線矢印コネクタ 117">
          <a:extLst>
            <a:ext uri="{FF2B5EF4-FFF2-40B4-BE49-F238E27FC236}">
              <a16:creationId xmlns:a16="http://schemas.microsoft.com/office/drawing/2014/main" id="{C9981C11-CBB8-0825-2FC2-F07CF2CC732E}"/>
            </a:ext>
          </a:extLst>
        </xdr:cNvPr>
        <xdr:cNvCxnSpPr/>
      </xdr:nvCxnSpPr>
      <xdr:spPr>
        <a:xfrm>
          <a:off x="12856626" y="1194393"/>
          <a:ext cx="10966" cy="1438989"/>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1238057</xdr:colOff>
      <xdr:row>7</xdr:row>
      <xdr:rowOff>0</xdr:rowOff>
    </xdr:from>
    <xdr:to>
      <xdr:col>6</xdr:col>
      <xdr:colOff>1238057</xdr:colOff>
      <xdr:row>10</xdr:row>
      <xdr:rowOff>0</xdr:rowOff>
    </xdr:to>
    <xdr:cxnSp macro="">
      <xdr:nvCxnSpPr>
        <xdr:cNvPr id="127" name="直線矢印コネクタ 126">
          <a:extLst>
            <a:ext uri="{FF2B5EF4-FFF2-40B4-BE49-F238E27FC236}">
              <a16:creationId xmlns:a16="http://schemas.microsoft.com/office/drawing/2014/main" id="{9E316AF7-F873-C292-A8FD-9D2E34181C0E}"/>
            </a:ext>
          </a:extLst>
        </xdr:cNvPr>
        <xdr:cNvCxnSpPr/>
      </xdr:nvCxnSpPr>
      <xdr:spPr>
        <a:xfrm>
          <a:off x="6414687" y="1929848"/>
          <a:ext cx="0" cy="728869"/>
        </a:xfrm>
        <a:prstGeom prst="straightConnector1">
          <a:avLst/>
        </a:prstGeom>
        <a:ln w="19050">
          <a:headEnd type="non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1220181</xdr:colOff>
      <xdr:row>4</xdr:row>
      <xdr:rowOff>0</xdr:rowOff>
    </xdr:from>
    <xdr:to>
      <xdr:col>10</xdr:col>
      <xdr:colOff>0</xdr:colOff>
      <xdr:row>10</xdr:row>
      <xdr:rowOff>0</xdr:rowOff>
    </xdr:to>
    <xdr:cxnSp macro="">
      <xdr:nvCxnSpPr>
        <xdr:cNvPr id="139" name="直線矢印コネクタ 138">
          <a:extLst>
            <a:ext uri="{FF2B5EF4-FFF2-40B4-BE49-F238E27FC236}">
              <a16:creationId xmlns:a16="http://schemas.microsoft.com/office/drawing/2014/main" id="{20CFC351-74E6-40E5-62E1-26F7E4DA66FB}"/>
            </a:ext>
          </a:extLst>
        </xdr:cNvPr>
        <xdr:cNvCxnSpPr/>
      </xdr:nvCxnSpPr>
      <xdr:spPr>
        <a:xfrm flipH="1">
          <a:off x="8313505" y="1467971"/>
          <a:ext cx="1260" cy="1143000"/>
        </a:xfrm>
        <a:prstGeom prst="straightConnector1">
          <a:avLst/>
        </a:prstGeom>
        <a:ln w="19050">
          <a:solidFill>
            <a:schemeClr val="accent6"/>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1228969</xdr:colOff>
      <xdr:row>7</xdr:row>
      <xdr:rowOff>2799</xdr:rowOff>
    </xdr:from>
    <xdr:to>
      <xdr:col>10</xdr:col>
      <xdr:colOff>0</xdr:colOff>
      <xdr:row>7</xdr:row>
      <xdr:rowOff>2799</xdr:rowOff>
    </xdr:to>
    <xdr:cxnSp macro="">
      <xdr:nvCxnSpPr>
        <xdr:cNvPr id="140" name="直線矢印コネクタ 139">
          <a:extLst>
            <a:ext uri="{FF2B5EF4-FFF2-40B4-BE49-F238E27FC236}">
              <a16:creationId xmlns:a16="http://schemas.microsoft.com/office/drawing/2014/main" id="{20DA5595-9414-6D0E-1AE7-3E9839CF3F4C}"/>
            </a:ext>
          </a:extLst>
        </xdr:cNvPr>
        <xdr:cNvCxnSpPr/>
      </xdr:nvCxnSpPr>
      <xdr:spPr>
        <a:xfrm flipH="1">
          <a:off x="5285498" y="2042270"/>
          <a:ext cx="3029267" cy="0"/>
        </a:xfrm>
        <a:prstGeom prst="straightConnector1">
          <a:avLst/>
        </a:prstGeom>
        <a:ln w="19050">
          <a:solidFill>
            <a:schemeClr val="accent6"/>
          </a:solidFill>
          <a:headEnd type="oval"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14967</xdr:colOff>
      <xdr:row>24</xdr:row>
      <xdr:rowOff>0</xdr:rowOff>
    </xdr:from>
    <xdr:to>
      <xdr:col>7</xdr:col>
      <xdr:colOff>14967</xdr:colOff>
      <xdr:row>29</xdr:row>
      <xdr:rowOff>4802</xdr:rowOff>
    </xdr:to>
    <xdr:cxnSp macro="">
      <xdr:nvCxnSpPr>
        <xdr:cNvPr id="149" name="直線矢印コネクタ 148">
          <a:extLst>
            <a:ext uri="{FF2B5EF4-FFF2-40B4-BE49-F238E27FC236}">
              <a16:creationId xmlns:a16="http://schemas.microsoft.com/office/drawing/2014/main" id="{DEE0A403-994F-7700-B3BE-4534D66E4EDF}"/>
            </a:ext>
          </a:extLst>
        </xdr:cNvPr>
        <xdr:cNvCxnSpPr/>
      </xdr:nvCxnSpPr>
      <xdr:spPr>
        <a:xfrm>
          <a:off x="5304143" y="6432176"/>
          <a:ext cx="0" cy="122624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14967</xdr:colOff>
      <xdr:row>24</xdr:row>
      <xdr:rowOff>13608</xdr:rowOff>
    </xdr:from>
    <xdr:to>
      <xdr:col>10</xdr:col>
      <xdr:colOff>14967</xdr:colOff>
      <xdr:row>26</xdr:row>
      <xdr:rowOff>11206</xdr:rowOff>
    </xdr:to>
    <xdr:cxnSp macro="">
      <xdr:nvCxnSpPr>
        <xdr:cNvPr id="150" name="直線矢印コネクタ 149">
          <a:extLst>
            <a:ext uri="{FF2B5EF4-FFF2-40B4-BE49-F238E27FC236}">
              <a16:creationId xmlns:a16="http://schemas.microsoft.com/office/drawing/2014/main" id="{924888AB-B03B-EDF6-0B47-7897E4D13208}"/>
            </a:ext>
          </a:extLst>
        </xdr:cNvPr>
        <xdr:cNvCxnSpPr/>
      </xdr:nvCxnSpPr>
      <xdr:spPr>
        <a:xfrm>
          <a:off x="8329732" y="6445784"/>
          <a:ext cx="0" cy="479451"/>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629528</xdr:colOff>
      <xdr:row>8</xdr:row>
      <xdr:rowOff>8283</xdr:rowOff>
    </xdr:from>
    <xdr:to>
      <xdr:col>7</xdr:col>
      <xdr:colOff>633323</xdr:colOff>
      <xdr:row>10</xdr:row>
      <xdr:rowOff>13607</xdr:rowOff>
    </xdr:to>
    <xdr:cxnSp macro="">
      <xdr:nvCxnSpPr>
        <xdr:cNvPr id="158" name="直線矢印コネクタ 157">
          <a:extLst>
            <a:ext uri="{FF2B5EF4-FFF2-40B4-BE49-F238E27FC236}">
              <a16:creationId xmlns:a16="http://schemas.microsoft.com/office/drawing/2014/main" id="{46C4576F-42E4-BBCE-BA46-54844095F80C}"/>
            </a:ext>
          </a:extLst>
        </xdr:cNvPr>
        <xdr:cNvCxnSpPr/>
      </xdr:nvCxnSpPr>
      <xdr:spPr>
        <a:xfrm flipH="1">
          <a:off x="6017957" y="2267069"/>
          <a:ext cx="3795" cy="386324"/>
        </a:xfrm>
        <a:prstGeom prst="straightConnector1">
          <a:avLst/>
        </a:prstGeom>
        <a:ln w="19050">
          <a:solidFill>
            <a:schemeClr val="accent2"/>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627530</xdr:colOff>
      <xdr:row>8</xdr:row>
      <xdr:rowOff>5441</xdr:rowOff>
    </xdr:from>
    <xdr:to>
      <xdr:col>12</xdr:col>
      <xdr:colOff>1224583</xdr:colOff>
      <xdr:row>8</xdr:row>
      <xdr:rowOff>5441</xdr:rowOff>
    </xdr:to>
    <xdr:cxnSp macro="">
      <xdr:nvCxnSpPr>
        <xdr:cNvPr id="161" name="直線矢印コネクタ 160">
          <a:extLst>
            <a:ext uri="{FF2B5EF4-FFF2-40B4-BE49-F238E27FC236}">
              <a16:creationId xmlns:a16="http://schemas.microsoft.com/office/drawing/2014/main" id="{1830896C-9986-3375-A733-38907C4519DB}"/>
            </a:ext>
          </a:extLst>
        </xdr:cNvPr>
        <xdr:cNvCxnSpPr/>
      </xdr:nvCxnSpPr>
      <xdr:spPr>
        <a:xfrm>
          <a:off x="6028765" y="2235412"/>
          <a:ext cx="5415583" cy="0"/>
        </a:xfrm>
        <a:prstGeom prst="straightConnector1">
          <a:avLst/>
        </a:prstGeom>
        <a:ln w="19050">
          <a:solidFill>
            <a:schemeClr val="accent2"/>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7</xdr:row>
      <xdr:rowOff>1118</xdr:rowOff>
    </xdr:from>
    <xdr:to>
      <xdr:col>12</xdr:col>
      <xdr:colOff>693964</xdr:colOff>
      <xdr:row>7</xdr:row>
      <xdr:rowOff>1118</xdr:rowOff>
    </xdr:to>
    <xdr:cxnSp macro="">
      <xdr:nvCxnSpPr>
        <xdr:cNvPr id="185" name="直線矢印コネクタ 184">
          <a:extLst>
            <a:ext uri="{FF2B5EF4-FFF2-40B4-BE49-F238E27FC236}">
              <a16:creationId xmlns:a16="http://schemas.microsoft.com/office/drawing/2014/main" id="{41B95727-6D5B-5EF3-F65D-E1BDB690727C}"/>
            </a:ext>
          </a:extLst>
        </xdr:cNvPr>
        <xdr:cNvCxnSpPr/>
      </xdr:nvCxnSpPr>
      <xdr:spPr>
        <a:xfrm flipH="1">
          <a:off x="8273143" y="2069404"/>
          <a:ext cx="2490107" cy="0"/>
        </a:xfrm>
        <a:prstGeom prst="straightConnector1">
          <a:avLst/>
        </a:prstGeom>
        <a:ln w="19050">
          <a:solidFill>
            <a:schemeClr val="accent6"/>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6163</xdr:colOff>
      <xdr:row>11</xdr:row>
      <xdr:rowOff>19050</xdr:rowOff>
    </xdr:from>
    <xdr:to>
      <xdr:col>10</xdr:col>
      <xdr:colOff>6163</xdr:colOff>
      <xdr:row>16</xdr:row>
      <xdr:rowOff>0</xdr:rowOff>
    </xdr:to>
    <xdr:cxnSp macro="">
      <xdr:nvCxnSpPr>
        <xdr:cNvPr id="5" name="直線矢印コネクタ 4">
          <a:extLst>
            <a:ext uri="{FF2B5EF4-FFF2-40B4-BE49-F238E27FC236}">
              <a16:creationId xmlns:a16="http://schemas.microsoft.com/office/drawing/2014/main" id="{29A69342-E776-4539-B870-B93E57D98F74}"/>
            </a:ext>
          </a:extLst>
        </xdr:cNvPr>
        <xdr:cNvCxnSpPr/>
      </xdr:nvCxnSpPr>
      <xdr:spPr>
        <a:xfrm>
          <a:off x="8320928" y="3392021"/>
          <a:ext cx="0" cy="116877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11205</xdr:colOff>
      <xdr:row>3</xdr:row>
      <xdr:rowOff>370913</xdr:rowOff>
    </xdr:from>
    <xdr:to>
      <xdr:col>6</xdr:col>
      <xdr:colOff>0</xdr:colOff>
      <xdr:row>3</xdr:row>
      <xdr:rowOff>370913</xdr:rowOff>
    </xdr:to>
    <xdr:cxnSp macro="">
      <xdr:nvCxnSpPr>
        <xdr:cNvPr id="22" name="直線矢印コネクタ 21">
          <a:extLst>
            <a:ext uri="{FF2B5EF4-FFF2-40B4-BE49-F238E27FC236}">
              <a16:creationId xmlns:a16="http://schemas.microsoft.com/office/drawing/2014/main" id="{D316998B-7FC8-DEA6-A4DA-96C260B4CB7A}"/>
            </a:ext>
          </a:extLst>
        </xdr:cNvPr>
        <xdr:cNvCxnSpPr/>
      </xdr:nvCxnSpPr>
      <xdr:spPr>
        <a:xfrm>
          <a:off x="2924734" y="1076884"/>
          <a:ext cx="1243854" cy="0"/>
        </a:xfrm>
        <a:prstGeom prst="straightConnector1">
          <a:avLst/>
        </a:prstGeom>
        <a:ln w="1905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6163</xdr:colOff>
      <xdr:row>27</xdr:row>
      <xdr:rowOff>22411</xdr:rowOff>
    </xdr:from>
    <xdr:to>
      <xdr:col>10</xdr:col>
      <xdr:colOff>6163</xdr:colOff>
      <xdr:row>29</xdr:row>
      <xdr:rowOff>0</xdr:rowOff>
    </xdr:to>
    <xdr:cxnSp macro="">
      <xdr:nvCxnSpPr>
        <xdr:cNvPr id="28" name="直線矢印コネクタ 27">
          <a:extLst>
            <a:ext uri="{FF2B5EF4-FFF2-40B4-BE49-F238E27FC236}">
              <a16:creationId xmlns:a16="http://schemas.microsoft.com/office/drawing/2014/main" id="{4B568282-6D9E-4738-A6B8-7D575B4296D1}"/>
            </a:ext>
          </a:extLst>
        </xdr:cNvPr>
        <xdr:cNvCxnSpPr/>
      </xdr:nvCxnSpPr>
      <xdr:spPr>
        <a:xfrm>
          <a:off x="8320928" y="7194176"/>
          <a:ext cx="0" cy="459442"/>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21771</xdr:colOff>
      <xdr:row>26</xdr:row>
      <xdr:rowOff>123825</xdr:rowOff>
    </xdr:from>
    <xdr:to>
      <xdr:col>11</xdr:col>
      <xdr:colOff>268941</xdr:colOff>
      <xdr:row>26</xdr:row>
      <xdr:rowOff>123825</xdr:rowOff>
    </xdr:to>
    <xdr:cxnSp macro="">
      <xdr:nvCxnSpPr>
        <xdr:cNvPr id="29" name="直線矢印コネクタ 28">
          <a:extLst>
            <a:ext uri="{FF2B5EF4-FFF2-40B4-BE49-F238E27FC236}">
              <a16:creationId xmlns:a16="http://schemas.microsoft.com/office/drawing/2014/main" id="{75EF2E2F-0B9C-4D55-887C-BB8965BE5340}"/>
            </a:ext>
          </a:extLst>
        </xdr:cNvPr>
        <xdr:cNvCxnSpPr/>
      </xdr:nvCxnSpPr>
      <xdr:spPr>
        <a:xfrm flipH="1">
          <a:off x="9614006" y="7149913"/>
          <a:ext cx="247170" cy="0"/>
        </a:xfrm>
        <a:prstGeom prst="straightConnector1">
          <a:avLst/>
        </a:prstGeom>
        <a:ln w="1905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263899</xdr:colOff>
      <xdr:row>26</xdr:row>
      <xdr:rowOff>134471</xdr:rowOff>
    </xdr:from>
    <xdr:to>
      <xdr:col>11</xdr:col>
      <xdr:colOff>263899</xdr:colOff>
      <xdr:row>29</xdr:row>
      <xdr:rowOff>0</xdr:rowOff>
    </xdr:to>
    <xdr:cxnSp macro="">
      <xdr:nvCxnSpPr>
        <xdr:cNvPr id="34" name="直線矢印コネクタ 33">
          <a:extLst>
            <a:ext uri="{FF2B5EF4-FFF2-40B4-BE49-F238E27FC236}">
              <a16:creationId xmlns:a16="http://schemas.microsoft.com/office/drawing/2014/main" id="{961D2E7F-8E23-EC0E-C8CB-6A151FBA683E}"/>
            </a:ext>
          </a:extLst>
        </xdr:cNvPr>
        <xdr:cNvCxnSpPr/>
      </xdr:nvCxnSpPr>
      <xdr:spPr>
        <a:xfrm>
          <a:off x="9800105" y="7048500"/>
          <a:ext cx="0" cy="605118"/>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605548</xdr:colOff>
      <xdr:row>3</xdr:row>
      <xdr:rowOff>372079</xdr:rowOff>
    </xdr:from>
    <xdr:to>
      <xdr:col>4</xdr:col>
      <xdr:colOff>605548</xdr:colOff>
      <xdr:row>6</xdr:row>
      <xdr:rowOff>0</xdr:rowOff>
    </xdr:to>
    <xdr:cxnSp macro="">
      <xdr:nvCxnSpPr>
        <xdr:cNvPr id="38" name="直線矢印コネクタ 37">
          <a:extLst>
            <a:ext uri="{FF2B5EF4-FFF2-40B4-BE49-F238E27FC236}">
              <a16:creationId xmlns:a16="http://schemas.microsoft.com/office/drawing/2014/main" id="{8F37F241-FBCD-30A7-5CC3-90F99F48CDF8}"/>
            </a:ext>
          </a:extLst>
        </xdr:cNvPr>
        <xdr:cNvCxnSpPr/>
      </xdr:nvCxnSpPr>
      <xdr:spPr>
        <a:xfrm>
          <a:off x="3519077" y="1078050"/>
          <a:ext cx="0" cy="770921"/>
        </a:xfrm>
        <a:prstGeom prst="straightConnector1">
          <a:avLst/>
        </a:prstGeom>
        <a:ln w="19050">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581275</xdr:colOff>
      <xdr:row>8</xdr:row>
      <xdr:rowOff>3363</xdr:rowOff>
    </xdr:from>
    <xdr:to>
      <xdr:col>10</xdr:col>
      <xdr:colOff>581275</xdr:colOff>
      <xdr:row>10</xdr:row>
      <xdr:rowOff>1933</xdr:rowOff>
    </xdr:to>
    <xdr:cxnSp macro="">
      <xdr:nvCxnSpPr>
        <xdr:cNvPr id="45" name="直線矢印コネクタ 44">
          <a:extLst>
            <a:ext uri="{FF2B5EF4-FFF2-40B4-BE49-F238E27FC236}">
              <a16:creationId xmlns:a16="http://schemas.microsoft.com/office/drawing/2014/main" id="{D59758AF-4E60-414C-C89A-23268033A10D}"/>
            </a:ext>
          </a:extLst>
        </xdr:cNvPr>
        <xdr:cNvCxnSpPr/>
      </xdr:nvCxnSpPr>
      <xdr:spPr>
        <a:xfrm>
          <a:off x="9008099" y="2233334"/>
          <a:ext cx="0" cy="379570"/>
        </a:xfrm>
        <a:prstGeom prst="straightConnector1">
          <a:avLst/>
        </a:prstGeom>
        <a:ln w="19050">
          <a:solidFill>
            <a:schemeClr val="accent2"/>
          </a:solidFill>
          <a:headEnd type="ova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699107</xdr:colOff>
      <xdr:row>7</xdr:row>
      <xdr:rowOff>0</xdr:rowOff>
    </xdr:from>
    <xdr:to>
      <xdr:col>12</xdr:col>
      <xdr:colOff>699107</xdr:colOff>
      <xdr:row>9</xdr:row>
      <xdr:rowOff>186018</xdr:rowOff>
    </xdr:to>
    <xdr:cxnSp macro="">
      <xdr:nvCxnSpPr>
        <xdr:cNvPr id="46" name="直線矢印コネクタ 45">
          <a:extLst>
            <a:ext uri="{FF2B5EF4-FFF2-40B4-BE49-F238E27FC236}">
              <a16:creationId xmlns:a16="http://schemas.microsoft.com/office/drawing/2014/main" id="{B82FD77E-8D67-C460-B4B2-B006D75D993A}"/>
            </a:ext>
          </a:extLst>
        </xdr:cNvPr>
        <xdr:cNvCxnSpPr/>
      </xdr:nvCxnSpPr>
      <xdr:spPr>
        <a:xfrm>
          <a:off x="10768393" y="2068286"/>
          <a:ext cx="0" cy="567018"/>
        </a:xfrm>
        <a:prstGeom prst="straightConnector1">
          <a:avLst/>
        </a:prstGeom>
        <a:ln w="19050">
          <a:headEnd type="non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19771</xdr:colOff>
      <xdr:row>24</xdr:row>
      <xdr:rowOff>9525</xdr:rowOff>
    </xdr:from>
    <xdr:to>
      <xdr:col>3</xdr:col>
      <xdr:colOff>19771</xdr:colOff>
      <xdr:row>26</xdr:row>
      <xdr:rowOff>19050</xdr:rowOff>
    </xdr:to>
    <xdr:cxnSp macro="">
      <xdr:nvCxnSpPr>
        <xdr:cNvPr id="51" name="直線矢印コネクタ 50">
          <a:extLst>
            <a:ext uri="{FF2B5EF4-FFF2-40B4-BE49-F238E27FC236}">
              <a16:creationId xmlns:a16="http://schemas.microsoft.com/office/drawing/2014/main" id="{7BC6D134-4D62-4091-83B9-B5B13AEC8021}"/>
            </a:ext>
          </a:extLst>
        </xdr:cNvPr>
        <xdr:cNvCxnSpPr/>
      </xdr:nvCxnSpPr>
      <xdr:spPr>
        <a:xfrm>
          <a:off x="1707057" y="6581775"/>
          <a:ext cx="0" cy="512989"/>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19771</xdr:colOff>
      <xdr:row>27</xdr:row>
      <xdr:rowOff>0</xdr:rowOff>
    </xdr:from>
    <xdr:to>
      <xdr:col>3</xdr:col>
      <xdr:colOff>19771</xdr:colOff>
      <xdr:row>29</xdr:row>
      <xdr:rowOff>19050</xdr:rowOff>
    </xdr:to>
    <xdr:cxnSp macro="">
      <xdr:nvCxnSpPr>
        <xdr:cNvPr id="52" name="直線矢印コネクタ 51">
          <a:extLst>
            <a:ext uri="{FF2B5EF4-FFF2-40B4-BE49-F238E27FC236}">
              <a16:creationId xmlns:a16="http://schemas.microsoft.com/office/drawing/2014/main" id="{D97E112F-2EC2-4C48-AC77-8B76BB847183}"/>
            </a:ext>
          </a:extLst>
        </xdr:cNvPr>
        <xdr:cNvCxnSpPr/>
      </xdr:nvCxnSpPr>
      <xdr:spPr>
        <a:xfrm>
          <a:off x="1707057" y="7334250"/>
          <a:ext cx="0" cy="50890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21771</xdr:colOff>
      <xdr:row>26</xdr:row>
      <xdr:rowOff>123825</xdr:rowOff>
    </xdr:from>
    <xdr:to>
      <xdr:col>4</xdr:col>
      <xdr:colOff>268942</xdr:colOff>
      <xdr:row>26</xdr:row>
      <xdr:rowOff>123825</xdr:rowOff>
    </xdr:to>
    <xdr:cxnSp macro="">
      <xdr:nvCxnSpPr>
        <xdr:cNvPr id="60" name="直線矢印コネクタ 59">
          <a:extLst>
            <a:ext uri="{FF2B5EF4-FFF2-40B4-BE49-F238E27FC236}">
              <a16:creationId xmlns:a16="http://schemas.microsoft.com/office/drawing/2014/main" id="{B17707F7-8B9B-414F-B518-6286D22E5E72}"/>
            </a:ext>
          </a:extLst>
        </xdr:cNvPr>
        <xdr:cNvCxnSpPr/>
      </xdr:nvCxnSpPr>
      <xdr:spPr>
        <a:xfrm flipH="1">
          <a:off x="2935300" y="3978649"/>
          <a:ext cx="247171" cy="0"/>
        </a:xfrm>
        <a:prstGeom prst="straightConnector1">
          <a:avLst/>
        </a:prstGeom>
        <a:ln w="1905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268221</xdr:colOff>
      <xdr:row>26</xdr:row>
      <xdr:rowOff>123265</xdr:rowOff>
    </xdr:from>
    <xdr:to>
      <xdr:col>4</xdr:col>
      <xdr:colOff>268221</xdr:colOff>
      <xdr:row>29</xdr:row>
      <xdr:rowOff>1</xdr:rowOff>
    </xdr:to>
    <xdr:cxnSp macro="">
      <xdr:nvCxnSpPr>
        <xdr:cNvPr id="61" name="直線矢印コネクタ 60">
          <a:extLst>
            <a:ext uri="{FF2B5EF4-FFF2-40B4-BE49-F238E27FC236}">
              <a16:creationId xmlns:a16="http://schemas.microsoft.com/office/drawing/2014/main" id="{BAACDE30-D17E-77E6-4C6C-73925CDCFA6D}"/>
            </a:ext>
          </a:extLst>
        </xdr:cNvPr>
        <xdr:cNvCxnSpPr/>
      </xdr:nvCxnSpPr>
      <xdr:spPr>
        <a:xfrm>
          <a:off x="3181750" y="7059706"/>
          <a:ext cx="0" cy="61632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21771</xdr:colOff>
      <xdr:row>26</xdr:row>
      <xdr:rowOff>123825</xdr:rowOff>
    </xdr:from>
    <xdr:to>
      <xdr:col>4</xdr:col>
      <xdr:colOff>268941</xdr:colOff>
      <xdr:row>26</xdr:row>
      <xdr:rowOff>123825</xdr:rowOff>
    </xdr:to>
    <xdr:cxnSp macro="">
      <xdr:nvCxnSpPr>
        <xdr:cNvPr id="63" name="直線矢印コネクタ 62">
          <a:extLst>
            <a:ext uri="{FF2B5EF4-FFF2-40B4-BE49-F238E27FC236}">
              <a16:creationId xmlns:a16="http://schemas.microsoft.com/office/drawing/2014/main" id="{07C5F2DB-2A8F-4285-B306-E4D7387D0925}"/>
            </a:ext>
          </a:extLst>
        </xdr:cNvPr>
        <xdr:cNvCxnSpPr/>
      </xdr:nvCxnSpPr>
      <xdr:spPr>
        <a:xfrm flipH="1">
          <a:off x="9557977" y="6567207"/>
          <a:ext cx="247170" cy="0"/>
        </a:xfrm>
        <a:prstGeom prst="straightConnector1">
          <a:avLst/>
        </a:prstGeom>
        <a:ln w="19050">
          <a:solidFill>
            <a:sysClr val="windowText" lastClr="00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517070</xdr:colOff>
          <xdr:row>3</xdr:row>
          <xdr:rowOff>13607</xdr:rowOff>
        </xdr:from>
        <xdr:to>
          <xdr:col>33</xdr:col>
          <xdr:colOff>621845</xdr:colOff>
          <xdr:row>59</xdr:row>
          <xdr:rowOff>80282</xdr:rowOff>
        </xdr:to>
        <xdr:pic>
          <xdr:nvPicPr>
            <xdr:cNvPr id="27" name="図 26">
              <a:extLst>
                <a:ext uri="{FF2B5EF4-FFF2-40B4-BE49-F238E27FC236}">
                  <a16:creationId xmlns:a16="http://schemas.microsoft.com/office/drawing/2014/main" id="{6B9D9569-EEEA-51A4-E0A2-64409A903D12}"/>
                </a:ext>
              </a:extLst>
            </xdr:cNvPr>
            <xdr:cNvPicPr>
              <a:picLocks noChangeAspect="1" noChangeArrowheads="1"/>
              <a:extLst>
                <a:ext uri="{84589F7E-364E-4C9E-8A38-B11213B215E9}">
                  <a14:cameraTool cellRange="シナリオ1!$A$1:$AA$56" spid="_x0000_s3079"/>
                </a:ext>
              </a:extLst>
            </xdr:cNvPicPr>
          </xdr:nvPicPr>
          <xdr:blipFill>
            <a:blip xmlns:r="http://schemas.openxmlformats.org/officeDocument/2006/relationships" r:embed="rId1"/>
            <a:srcRect/>
            <a:stretch>
              <a:fillRect/>
            </a:stretch>
          </xdr:blipFill>
          <xdr:spPr bwMode="auto">
            <a:xfrm>
              <a:off x="3918856" y="748393"/>
              <a:ext cx="19154775" cy="13782675"/>
            </a:xfrm>
            <a:prstGeom prst="rect">
              <a:avLst/>
            </a:prstGeom>
            <a:noFill/>
            <a:ln>
              <a:solidFill>
                <a:schemeClr val="accent1"/>
              </a:solidFill>
            </a:ln>
            <a:extLst>
              <a:ext uri="{909E8E84-426E-40DD-AFC4-6F175D3DCCD1}">
                <a14:hiddenFill>
                  <a:solidFill>
                    <a:srgbClr val="FFFFFF"/>
                  </a:solidFill>
                </a14:hiddenFill>
              </a:ext>
            </a:extLst>
          </xdr:spPr>
        </xdr:pic>
        <xdr:clientData/>
      </xdr:twoCellAnchor>
    </mc:Choice>
    <mc:Fallback/>
  </mc:AlternateContent>
  <xdr:twoCellAnchor>
    <xdr:from>
      <xdr:col>0</xdr:col>
      <xdr:colOff>680356</xdr:colOff>
      <xdr:row>22</xdr:row>
      <xdr:rowOff>244926</xdr:rowOff>
    </xdr:from>
    <xdr:to>
      <xdr:col>5</xdr:col>
      <xdr:colOff>0</xdr:colOff>
      <xdr:row>26</xdr:row>
      <xdr:rowOff>95249</xdr:rowOff>
    </xdr:to>
    <xdr:sp macro="" textlink="">
      <xdr:nvSpPr>
        <xdr:cNvPr id="3" name="テキスト ボックス 2">
          <a:extLst>
            <a:ext uri="{FF2B5EF4-FFF2-40B4-BE49-F238E27FC236}">
              <a16:creationId xmlns:a16="http://schemas.microsoft.com/office/drawing/2014/main" id="{68D6EC09-8439-4AD8-B6D2-A61E6799C108}"/>
            </a:ext>
          </a:extLst>
        </xdr:cNvPr>
        <xdr:cNvSpPr txBox="1"/>
      </xdr:nvSpPr>
      <xdr:spPr>
        <a:xfrm>
          <a:off x="680356" y="5633355"/>
          <a:ext cx="2721430" cy="83003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＜現状＞については，シナリオ</a:t>
          </a:r>
          <a:r>
            <a:rPr kumimoji="1" lang="en-US" altLang="ja-JP" sz="1100" kern="1200"/>
            <a:t>1</a:t>
          </a:r>
          <a:r>
            <a:rPr kumimoji="1" lang="ja-JP" altLang="en-US" sz="1100" kern="1200"/>
            <a:t>のシートにのみ入力して下さい．シナリオ</a:t>
          </a:r>
          <a:r>
            <a:rPr kumimoji="1" lang="en-US" altLang="ja-JP" sz="1100" kern="1200"/>
            <a:t>2</a:t>
          </a:r>
          <a:r>
            <a:rPr kumimoji="1" lang="ja-JP" altLang="en-US" sz="1100" kern="1200"/>
            <a:t>，</a:t>
          </a:r>
          <a:r>
            <a:rPr kumimoji="1" lang="en-US" altLang="ja-JP" sz="1100" kern="1200"/>
            <a:t>3</a:t>
          </a:r>
          <a:r>
            <a:rPr kumimoji="1" lang="ja-JP" altLang="en-US" sz="1100" kern="1200"/>
            <a:t>については入力不要です．</a:t>
          </a:r>
        </a:p>
      </xdr:txBody>
    </xdr:sp>
    <xdr:clientData/>
  </xdr:twoCellAnchor>
  <xdr:twoCellAnchor>
    <xdr:from>
      <xdr:col>12</xdr:col>
      <xdr:colOff>476251</xdr:colOff>
      <xdr:row>9</xdr:row>
      <xdr:rowOff>166685</xdr:rowOff>
    </xdr:from>
    <xdr:to>
      <xdr:col>15</xdr:col>
      <xdr:colOff>166688</xdr:colOff>
      <xdr:row>12</xdr:row>
      <xdr:rowOff>112258</xdr:rowOff>
    </xdr:to>
    <xdr:sp macro="" textlink="">
      <xdr:nvSpPr>
        <xdr:cNvPr id="4" name="テキスト ボックス 3">
          <a:extLst>
            <a:ext uri="{FF2B5EF4-FFF2-40B4-BE49-F238E27FC236}">
              <a16:creationId xmlns:a16="http://schemas.microsoft.com/office/drawing/2014/main" id="{7C8B8B98-C231-4771-97F6-F13C034D1E16}"/>
            </a:ext>
          </a:extLst>
        </xdr:cNvPr>
        <xdr:cNvSpPr txBox="1"/>
      </xdr:nvSpPr>
      <xdr:spPr>
        <a:xfrm>
          <a:off x="8640537" y="2371042"/>
          <a:ext cx="1731508" cy="68035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検討する再編シナリオを選択してください</a:t>
          </a:r>
        </a:p>
      </xdr:txBody>
    </xdr:sp>
    <xdr:clientData/>
  </xdr:twoCellAnchor>
  <xdr:twoCellAnchor>
    <xdr:from>
      <xdr:col>12</xdr:col>
      <xdr:colOff>476252</xdr:colOff>
      <xdr:row>15</xdr:row>
      <xdr:rowOff>217714</xdr:rowOff>
    </xdr:from>
    <xdr:to>
      <xdr:col>16</xdr:col>
      <xdr:colOff>272143</xdr:colOff>
      <xdr:row>20</xdr:row>
      <xdr:rowOff>68036</xdr:rowOff>
    </xdr:to>
    <xdr:sp macro="" textlink="">
      <xdr:nvSpPr>
        <xdr:cNvPr id="5" name="テキスト ボックス 4">
          <a:extLst>
            <a:ext uri="{FF2B5EF4-FFF2-40B4-BE49-F238E27FC236}">
              <a16:creationId xmlns:a16="http://schemas.microsoft.com/office/drawing/2014/main" id="{E2DEAAB6-02F0-4302-ADDF-3E0E3F5001BC}"/>
            </a:ext>
          </a:extLst>
        </xdr:cNvPr>
        <xdr:cNvSpPr txBox="1"/>
      </xdr:nvSpPr>
      <xdr:spPr>
        <a:xfrm>
          <a:off x="8640538" y="3891643"/>
          <a:ext cx="2517319" cy="107496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選択したシナリオに応じて，入力欄が黄色なるので，必要事項を入力してください</a:t>
          </a:r>
          <a:endParaRPr kumimoji="1" lang="en-US" altLang="ja-JP" sz="1100" kern="1200"/>
        </a:p>
        <a:p>
          <a:r>
            <a:rPr kumimoji="1" lang="ja-JP" altLang="en-US" sz="1100" kern="1200"/>
            <a:t>（以下は単独再編の例です）</a:t>
          </a:r>
        </a:p>
      </xdr:txBody>
    </xdr:sp>
    <xdr:clientData/>
  </xdr:twoCellAnchor>
  <xdr:twoCellAnchor>
    <xdr:from>
      <xdr:col>6</xdr:col>
      <xdr:colOff>367393</xdr:colOff>
      <xdr:row>42</xdr:row>
      <xdr:rowOff>127412</xdr:rowOff>
    </xdr:from>
    <xdr:to>
      <xdr:col>11</xdr:col>
      <xdr:colOff>4944</xdr:colOff>
      <xdr:row>45</xdr:row>
      <xdr:rowOff>47008</xdr:rowOff>
    </xdr:to>
    <xdr:sp macro="" textlink="">
      <xdr:nvSpPr>
        <xdr:cNvPr id="6" name="テキスト ボックス 5">
          <a:extLst>
            <a:ext uri="{FF2B5EF4-FFF2-40B4-BE49-F238E27FC236}">
              <a16:creationId xmlns:a16="http://schemas.microsoft.com/office/drawing/2014/main" id="{B0CA9B2E-23EB-4EB6-A848-15A9E9E46CCD}"/>
            </a:ext>
          </a:extLst>
        </xdr:cNvPr>
        <xdr:cNvSpPr txBox="1"/>
      </xdr:nvSpPr>
      <xdr:spPr>
        <a:xfrm>
          <a:off x="4449536" y="10414412"/>
          <a:ext cx="3039337" cy="65438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水資源</a:t>
          </a:r>
          <a:r>
            <a:rPr kumimoji="1" lang="en-US" altLang="ja-JP" sz="1100" kern="1200"/>
            <a:t>Navi</a:t>
          </a:r>
          <a:r>
            <a:rPr kumimoji="1" lang="ja-JP" altLang="en-US" sz="1100" kern="1200"/>
            <a:t>での確認結果などを基に新規水源を選択してください．</a:t>
          </a:r>
        </a:p>
      </xdr:txBody>
    </xdr:sp>
    <xdr:clientData/>
  </xdr:twoCellAnchor>
  <xdr:twoCellAnchor>
    <xdr:from>
      <xdr:col>12</xdr:col>
      <xdr:colOff>217710</xdr:colOff>
      <xdr:row>32</xdr:row>
      <xdr:rowOff>99579</xdr:rowOff>
    </xdr:from>
    <xdr:to>
      <xdr:col>12</xdr:col>
      <xdr:colOff>353782</xdr:colOff>
      <xdr:row>36</xdr:row>
      <xdr:rowOff>0</xdr:rowOff>
    </xdr:to>
    <xdr:sp macro="" textlink="">
      <xdr:nvSpPr>
        <xdr:cNvPr id="7" name="左大かっこ 6">
          <a:extLst>
            <a:ext uri="{FF2B5EF4-FFF2-40B4-BE49-F238E27FC236}">
              <a16:creationId xmlns:a16="http://schemas.microsoft.com/office/drawing/2014/main" id="{25C8D426-E9C8-4348-8B2B-033BE782C9ED}"/>
            </a:ext>
          </a:extLst>
        </xdr:cNvPr>
        <xdr:cNvSpPr/>
      </xdr:nvSpPr>
      <xdr:spPr>
        <a:xfrm>
          <a:off x="8381996" y="7937293"/>
          <a:ext cx="136072" cy="880136"/>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4944</xdr:colOff>
      <xdr:row>34</xdr:row>
      <xdr:rowOff>49790</xdr:rowOff>
    </xdr:from>
    <xdr:to>
      <xdr:col>12</xdr:col>
      <xdr:colOff>217710</xdr:colOff>
      <xdr:row>43</xdr:row>
      <xdr:rowOff>209674</xdr:rowOff>
    </xdr:to>
    <xdr:cxnSp macro="">
      <xdr:nvCxnSpPr>
        <xdr:cNvPr id="8" name="直線コネクタ 7">
          <a:extLst>
            <a:ext uri="{FF2B5EF4-FFF2-40B4-BE49-F238E27FC236}">
              <a16:creationId xmlns:a16="http://schemas.microsoft.com/office/drawing/2014/main" id="{16AAB511-1185-494A-8C4F-004717D162BB}"/>
            </a:ext>
          </a:extLst>
        </xdr:cNvPr>
        <xdr:cNvCxnSpPr>
          <a:stCxn id="7" idx="1"/>
          <a:endCxn id="6" idx="3"/>
        </xdr:cNvCxnSpPr>
      </xdr:nvCxnSpPr>
      <xdr:spPr>
        <a:xfrm flipH="1">
          <a:off x="7488873" y="8377361"/>
          <a:ext cx="893123" cy="23642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367394</xdr:colOff>
      <xdr:row>45</xdr:row>
      <xdr:rowOff>145967</xdr:rowOff>
    </xdr:from>
    <xdr:to>
      <xdr:col>11</xdr:col>
      <xdr:colOff>4944</xdr:colOff>
      <xdr:row>47</xdr:row>
      <xdr:rowOff>239982</xdr:rowOff>
    </xdr:to>
    <xdr:sp macro="" textlink="">
      <xdr:nvSpPr>
        <xdr:cNvPr id="9" name="テキスト ボックス 8">
          <a:extLst>
            <a:ext uri="{FF2B5EF4-FFF2-40B4-BE49-F238E27FC236}">
              <a16:creationId xmlns:a16="http://schemas.microsoft.com/office/drawing/2014/main" id="{60441DB1-7456-469B-A18E-31479D677964}"/>
            </a:ext>
          </a:extLst>
        </xdr:cNvPr>
        <xdr:cNvSpPr txBox="1"/>
      </xdr:nvSpPr>
      <xdr:spPr>
        <a:xfrm>
          <a:off x="4449537" y="11167753"/>
          <a:ext cx="3039336" cy="58387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処理方法は，水源のリスクレベルや実際の水質に応じて選択してください．</a:t>
          </a:r>
        </a:p>
      </xdr:txBody>
    </xdr:sp>
    <xdr:clientData/>
  </xdr:twoCellAnchor>
  <xdr:twoCellAnchor>
    <xdr:from>
      <xdr:col>12</xdr:col>
      <xdr:colOff>217710</xdr:colOff>
      <xdr:row>36</xdr:row>
      <xdr:rowOff>113186</xdr:rowOff>
    </xdr:from>
    <xdr:to>
      <xdr:col>12</xdr:col>
      <xdr:colOff>353782</xdr:colOff>
      <xdr:row>40</xdr:row>
      <xdr:rowOff>13606</xdr:rowOff>
    </xdr:to>
    <xdr:sp macro="" textlink="">
      <xdr:nvSpPr>
        <xdr:cNvPr id="10" name="左大かっこ 9">
          <a:extLst>
            <a:ext uri="{FF2B5EF4-FFF2-40B4-BE49-F238E27FC236}">
              <a16:creationId xmlns:a16="http://schemas.microsoft.com/office/drawing/2014/main" id="{6D26296A-8083-4E15-B418-61AAC7256F26}"/>
            </a:ext>
          </a:extLst>
        </xdr:cNvPr>
        <xdr:cNvSpPr/>
      </xdr:nvSpPr>
      <xdr:spPr>
        <a:xfrm>
          <a:off x="8381996" y="8930615"/>
          <a:ext cx="136072" cy="880134"/>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4944</xdr:colOff>
      <xdr:row>38</xdr:row>
      <xdr:rowOff>63396</xdr:rowOff>
    </xdr:from>
    <xdr:to>
      <xdr:col>12</xdr:col>
      <xdr:colOff>217710</xdr:colOff>
      <xdr:row>46</xdr:row>
      <xdr:rowOff>192975</xdr:rowOff>
    </xdr:to>
    <xdr:cxnSp macro="">
      <xdr:nvCxnSpPr>
        <xdr:cNvPr id="11" name="直線コネクタ 10">
          <a:extLst>
            <a:ext uri="{FF2B5EF4-FFF2-40B4-BE49-F238E27FC236}">
              <a16:creationId xmlns:a16="http://schemas.microsoft.com/office/drawing/2014/main" id="{F0F1D4A3-D309-4D7A-BD57-4A32ACDD6913}"/>
            </a:ext>
          </a:extLst>
        </xdr:cNvPr>
        <xdr:cNvCxnSpPr>
          <a:stCxn id="10" idx="1"/>
          <a:endCxn id="9" idx="3"/>
        </xdr:cNvCxnSpPr>
      </xdr:nvCxnSpPr>
      <xdr:spPr>
        <a:xfrm flipH="1">
          <a:off x="7488873" y="9370682"/>
          <a:ext cx="893123" cy="208900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367393</xdr:colOff>
      <xdr:row>48</xdr:row>
      <xdr:rowOff>95250</xdr:rowOff>
    </xdr:from>
    <xdr:to>
      <xdr:col>11</xdr:col>
      <xdr:colOff>4944</xdr:colOff>
      <xdr:row>52</xdr:row>
      <xdr:rowOff>231321</xdr:rowOff>
    </xdr:to>
    <xdr:sp macro="" textlink="">
      <xdr:nvSpPr>
        <xdr:cNvPr id="12" name="テキスト ボックス 11">
          <a:extLst>
            <a:ext uri="{FF2B5EF4-FFF2-40B4-BE49-F238E27FC236}">
              <a16:creationId xmlns:a16="http://schemas.microsoft.com/office/drawing/2014/main" id="{5F198402-BA58-402B-AF9B-1570B9740B87}"/>
            </a:ext>
          </a:extLst>
        </xdr:cNvPr>
        <xdr:cNvSpPr txBox="1"/>
      </xdr:nvSpPr>
      <xdr:spPr>
        <a:xfrm>
          <a:off x="4449536" y="11851821"/>
          <a:ext cx="3039337" cy="111578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想定する新規水源・浄水設備・配水池等の位置関係から必要な距離を算出して下さい．</a:t>
          </a:r>
          <a:endParaRPr kumimoji="1" lang="en-US" altLang="ja-JP" sz="1100" kern="1200"/>
        </a:p>
        <a:p>
          <a:r>
            <a:rPr kumimoji="1" lang="ja-JP" altLang="en-US" sz="1100" kern="1200"/>
            <a:t>水量に応じて管種・管径を選択し，種別ごとの総延長距離を入力してください．</a:t>
          </a:r>
        </a:p>
      </xdr:txBody>
    </xdr:sp>
    <xdr:clientData/>
  </xdr:twoCellAnchor>
  <xdr:twoCellAnchor>
    <xdr:from>
      <xdr:col>12</xdr:col>
      <xdr:colOff>217710</xdr:colOff>
      <xdr:row>44</xdr:row>
      <xdr:rowOff>72365</xdr:rowOff>
    </xdr:from>
    <xdr:to>
      <xdr:col>12</xdr:col>
      <xdr:colOff>353782</xdr:colOff>
      <xdr:row>47</xdr:row>
      <xdr:rowOff>217715</xdr:rowOff>
    </xdr:to>
    <xdr:sp macro="" textlink="">
      <xdr:nvSpPr>
        <xdr:cNvPr id="13" name="左大かっこ 12">
          <a:extLst>
            <a:ext uri="{FF2B5EF4-FFF2-40B4-BE49-F238E27FC236}">
              <a16:creationId xmlns:a16="http://schemas.microsoft.com/office/drawing/2014/main" id="{F851D482-7872-4C95-9746-4E45B450605F}"/>
            </a:ext>
          </a:extLst>
        </xdr:cNvPr>
        <xdr:cNvSpPr/>
      </xdr:nvSpPr>
      <xdr:spPr>
        <a:xfrm>
          <a:off x="8381996" y="10849222"/>
          <a:ext cx="136072" cy="880136"/>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11</xdr:col>
      <xdr:colOff>4944</xdr:colOff>
      <xdr:row>46</xdr:row>
      <xdr:rowOff>22576</xdr:rowOff>
    </xdr:from>
    <xdr:to>
      <xdr:col>12</xdr:col>
      <xdr:colOff>217710</xdr:colOff>
      <xdr:row>50</xdr:row>
      <xdr:rowOff>163285</xdr:rowOff>
    </xdr:to>
    <xdr:cxnSp macro="">
      <xdr:nvCxnSpPr>
        <xdr:cNvPr id="14" name="直線コネクタ 13">
          <a:extLst>
            <a:ext uri="{FF2B5EF4-FFF2-40B4-BE49-F238E27FC236}">
              <a16:creationId xmlns:a16="http://schemas.microsoft.com/office/drawing/2014/main" id="{6CB366C3-F591-44FF-BEF2-3A9C5F69D26C}"/>
            </a:ext>
          </a:extLst>
        </xdr:cNvPr>
        <xdr:cNvCxnSpPr>
          <a:stCxn id="13" idx="1"/>
          <a:endCxn id="12" idx="3"/>
        </xdr:cNvCxnSpPr>
      </xdr:nvCxnSpPr>
      <xdr:spPr>
        <a:xfrm flipH="1">
          <a:off x="7488873" y="11289290"/>
          <a:ext cx="893123" cy="112042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381001</xdr:colOff>
      <xdr:row>53</xdr:row>
      <xdr:rowOff>95250</xdr:rowOff>
    </xdr:from>
    <xdr:to>
      <xdr:col>11</xdr:col>
      <xdr:colOff>18553</xdr:colOff>
      <xdr:row>58</xdr:row>
      <xdr:rowOff>123264</xdr:rowOff>
    </xdr:to>
    <xdr:sp macro="" textlink="">
      <xdr:nvSpPr>
        <xdr:cNvPr id="15" name="テキスト ボックス 14">
          <a:extLst>
            <a:ext uri="{FF2B5EF4-FFF2-40B4-BE49-F238E27FC236}">
              <a16:creationId xmlns:a16="http://schemas.microsoft.com/office/drawing/2014/main" id="{87AAF756-40E9-450E-B63C-F01085C4A274}"/>
            </a:ext>
          </a:extLst>
        </xdr:cNvPr>
        <xdr:cNvSpPr txBox="1"/>
      </xdr:nvSpPr>
      <xdr:spPr>
        <a:xfrm>
          <a:off x="4463144" y="13076464"/>
          <a:ext cx="3039338" cy="1252657"/>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(2)</a:t>
          </a:r>
          <a:r>
            <a:rPr kumimoji="1" lang="ja-JP" altLang="en-US" sz="1100" kern="1200"/>
            <a:t>で選択した水源・処理方式に基づいて選択してください．</a:t>
          </a:r>
          <a:endParaRPr kumimoji="1" lang="en-US" altLang="ja-JP" sz="1100" kern="1200"/>
        </a:p>
        <a:p>
          <a:r>
            <a:rPr kumimoji="1" lang="ja-JP" altLang="en-US" sz="1100" kern="1200"/>
            <a:t>配水池を設置する場合は，送水ポンプと配水池の仕様を入力して下さい．</a:t>
          </a:r>
          <a:endParaRPr kumimoji="1" lang="en-US" altLang="ja-JP" sz="1100" kern="1200"/>
        </a:p>
        <a:p>
          <a:endParaRPr kumimoji="1" lang="ja-JP" altLang="en-US" sz="1100" kern="1200"/>
        </a:p>
      </xdr:txBody>
    </xdr:sp>
    <xdr:clientData/>
  </xdr:twoCellAnchor>
  <xdr:twoCellAnchor>
    <xdr:from>
      <xdr:col>11</xdr:col>
      <xdr:colOff>18553</xdr:colOff>
      <xdr:row>50</xdr:row>
      <xdr:rowOff>8968</xdr:rowOff>
    </xdr:from>
    <xdr:to>
      <xdr:col>12</xdr:col>
      <xdr:colOff>217710</xdr:colOff>
      <xdr:row>55</xdr:row>
      <xdr:rowOff>231722</xdr:rowOff>
    </xdr:to>
    <xdr:cxnSp macro="">
      <xdr:nvCxnSpPr>
        <xdr:cNvPr id="16" name="直線コネクタ 15">
          <a:extLst>
            <a:ext uri="{FF2B5EF4-FFF2-40B4-BE49-F238E27FC236}">
              <a16:creationId xmlns:a16="http://schemas.microsoft.com/office/drawing/2014/main" id="{C4D72985-0829-4B1B-86EB-3FE82FA6F67E}"/>
            </a:ext>
          </a:extLst>
        </xdr:cNvPr>
        <xdr:cNvCxnSpPr>
          <a:stCxn id="17" idx="1"/>
          <a:endCxn id="15" idx="3"/>
        </xdr:cNvCxnSpPr>
      </xdr:nvCxnSpPr>
      <xdr:spPr>
        <a:xfrm flipH="1">
          <a:off x="7502482" y="12255397"/>
          <a:ext cx="879514" cy="144739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217710</xdr:colOff>
      <xdr:row>48</xdr:row>
      <xdr:rowOff>85973</xdr:rowOff>
    </xdr:from>
    <xdr:to>
      <xdr:col>12</xdr:col>
      <xdr:colOff>326566</xdr:colOff>
      <xdr:row>51</xdr:row>
      <xdr:rowOff>176892</xdr:rowOff>
    </xdr:to>
    <xdr:sp macro="" textlink="">
      <xdr:nvSpPr>
        <xdr:cNvPr id="17" name="左大かっこ 16">
          <a:extLst>
            <a:ext uri="{FF2B5EF4-FFF2-40B4-BE49-F238E27FC236}">
              <a16:creationId xmlns:a16="http://schemas.microsoft.com/office/drawing/2014/main" id="{6C4BD362-7516-41D1-A2A3-1B5A357451AE}"/>
            </a:ext>
          </a:extLst>
        </xdr:cNvPr>
        <xdr:cNvSpPr/>
      </xdr:nvSpPr>
      <xdr:spPr>
        <a:xfrm>
          <a:off x="8381996" y="11842544"/>
          <a:ext cx="108856" cy="825705"/>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12</xdr:col>
      <xdr:colOff>27213</xdr:colOff>
      <xdr:row>18</xdr:row>
      <xdr:rowOff>77003</xdr:rowOff>
    </xdr:from>
    <xdr:to>
      <xdr:col>12</xdr:col>
      <xdr:colOff>489857</xdr:colOff>
      <xdr:row>19</xdr:row>
      <xdr:rowOff>163285</xdr:rowOff>
    </xdr:to>
    <xdr:cxnSp macro="">
      <xdr:nvCxnSpPr>
        <xdr:cNvPr id="18" name="直線コネクタ 17">
          <a:extLst>
            <a:ext uri="{FF2B5EF4-FFF2-40B4-BE49-F238E27FC236}">
              <a16:creationId xmlns:a16="http://schemas.microsoft.com/office/drawing/2014/main" id="{1CFD0151-96D4-4C89-9040-792F7976EA79}"/>
            </a:ext>
          </a:extLst>
        </xdr:cNvPr>
        <xdr:cNvCxnSpPr/>
      </xdr:nvCxnSpPr>
      <xdr:spPr>
        <a:xfrm flipH="1">
          <a:off x="8191499" y="4485717"/>
          <a:ext cx="462644" cy="331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517071</xdr:colOff>
      <xdr:row>11</xdr:row>
      <xdr:rowOff>198500</xdr:rowOff>
    </xdr:from>
    <xdr:to>
      <xdr:col>19</xdr:col>
      <xdr:colOff>272142</xdr:colOff>
      <xdr:row>15</xdr:row>
      <xdr:rowOff>112057</xdr:rowOff>
    </xdr:to>
    <xdr:sp macro="" textlink="">
      <xdr:nvSpPr>
        <xdr:cNvPr id="19" name="テキスト ボックス 18">
          <a:extLst>
            <a:ext uri="{FF2B5EF4-FFF2-40B4-BE49-F238E27FC236}">
              <a16:creationId xmlns:a16="http://schemas.microsoft.com/office/drawing/2014/main" id="{C44BE236-6D8E-480F-8645-397A7809E8FC}"/>
            </a:ext>
          </a:extLst>
        </xdr:cNvPr>
        <xdr:cNvSpPr txBox="1"/>
      </xdr:nvSpPr>
      <xdr:spPr>
        <a:xfrm>
          <a:off x="11402785" y="2892714"/>
          <a:ext cx="1796143" cy="89327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推計結果が表示されます．同じ内容が”比較評価”シートにも表示されます</a:t>
          </a:r>
        </a:p>
      </xdr:txBody>
    </xdr:sp>
    <xdr:clientData/>
  </xdr:twoCellAnchor>
  <xdr:twoCellAnchor>
    <xdr:from>
      <xdr:col>5</xdr:col>
      <xdr:colOff>0</xdr:colOff>
      <xdr:row>23</xdr:row>
      <xdr:rowOff>122464</xdr:rowOff>
    </xdr:from>
    <xdr:to>
      <xdr:col>6</xdr:col>
      <xdr:colOff>0</xdr:colOff>
      <xdr:row>24</xdr:row>
      <xdr:rowOff>165325</xdr:rowOff>
    </xdr:to>
    <xdr:cxnSp macro="">
      <xdr:nvCxnSpPr>
        <xdr:cNvPr id="20" name="直線コネクタ 19">
          <a:extLst>
            <a:ext uri="{FF2B5EF4-FFF2-40B4-BE49-F238E27FC236}">
              <a16:creationId xmlns:a16="http://schemas.microsoft.com/office/drawing/2014/main" id="{CA031E3D-C772-40A1-BC60-164BDD91AF22}"/>
            </a:ext>
          </a:extLst>
        </xdr:cNvPr>
        <xdr:cNvCxnSpPr>
          <a:stCxn id="3" idx="3"/>
        </xdr:cNvCxnSpPr>
      </xdr:nvCxnSpPr>
      <xdr:spPr>
        <a:xfrm flipV="1">
          <a:off x="3401786" y="5755821"/>
          <a:ext cx="680357" cy="28779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620325</xdr:colOff>
      <xdr:row>8</xdr:row>
      <xdr:rowOff>4803</xdr:rowOff>
    </xdr:from>
    <xdr:to>
      <xdr:col>15</xdr:col>
      <xdr:colOff>244128</xdr:colOff>
      <xdr:row>9</xdr:row>
      <xdr:rowOff>179295</xdr:rowOff>
    </xdr:to>
    <xdr:cxnSp macro="">
      <xdr:nvCxnSpPr>
        <xdr:cNvPr id="21" name="直線コネクタ 20">
          <a:extLst>
            <a:ext uri="{FF2B5EF4-FFF2-40B4-BE49-F238E27FC236}">
              <a16:creationId xmlns:a16="http://schemas.microsoft.com/office/drawing/2014/main" id="{A9599248-7CEB-49EF-9803-99922DD8F153}"/>
            </a:ext>
          </a:extLst>
        </xdr:cNvPr>
        <xdr:cNvCxnSpPr/>
      </xdr:nvCxnSpPr>
      <xdr:spPr>
        <a:xfrm flipV="1">
          <a:off x="10145325" y="1964232"/>
          <a:ext cx="304160" cy="41942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272142</xdr:colOff>
      <xdr:row>12</xdr:row>
      <xdr:rowOff>224116</xdr:rowOff>
    </xdr:from>
    <xdr:to>
      <xdr:col>19</xdr:col>
      <xdr:colOff>413017</xdr:colOff>
      <xdr:row>13</xdr:row>
      <xdr:rowOff>136869</xdr:rowOff>
    </xdr:to>
    <xdr:cxnSp macro="">
      <xdr:nvCxnSpPr>
        <xdr:cNvPr id="22" name="直線コネクタ 21">
          <a:extLst>
            <a:ext uri="{FF2B5EF4-FFF2-40B4-BE49-F238E27FC236}">
              <a16:creationId xmlns:a16="http://schemas.microsoft.com/office/drawing/2014/main" id="{D9597E58-5E22-43AC-B2A6-54F5EFCEB05B}"/>
            </a:ext>
          </a:extLst>
        </xdr:cNvPr>
        <xdr:cNvCxnSpPr/>
      </xdr:nvCxnSpPr>
      <xdr:spPr>
        <a:xfrm flipV="1">
          <a:off x="13198928" y="3163259"/>
          <a:ext cx="140875" cy="15768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417820</xdr:colOff>
      <xdr:row>6</xdr:row>
      <xdr:rowOff>133197</xdr:rowOff>
    </xdr:from>
    <xdr:to>
      <xdr:col>19</xdr:col>
      <xdr:colOff>513870</xdr:colOff>
      <xdr:row>20</xdr:row>
      <xdr:rowOff>156883</xdr:rowOff>
    </xdr:to>
    <xdr:sp macro="" textlink="">
      <xdr:nvSpPr>
        <xdr:cNvPr id="23" name="左大かっこ 22">
          <a:extLst>
            <a:ext uri="{FF2B5EF4-FFF2-40B4-BE49-F238E27FC236}">
              <a16:creationId xmlns:a16="http://schemas.microsoft.com/office/drawing/2014/main" id="{0B2B14A2-0DAF-492A-B4A8-2BAD0E4A1AF4}"/>
            </a:ext>
          </a:extLst>
        </xdr:cNvPr>
        <xdr:cNvSpPr/>
      </xdr:nvSpPr>
      <xdr:spPr>
        <a:xfrm>
          <a:off x="13344606" y="1602768"/>
          <a:ext cx="96050" cy="3452686"/>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666751</xdr:colOff>
      <xdr:row>28</xdr:row>
      <xdr:rowOff>0</xdr:rowOff>
    </xdr:from>
    <xdr:to>
      <xdr:col>5</xdr:col>
      <xdr:colOff>1</xdr:colOff>
      <xdr:row>36</xdr:row>
      <xdr:rowOff>0</xdr:rowOff>
    </xdr:to>
    <xdr:sp macro="" textlink="">
      <xdr:nvSpPr>
        <xdr:cNvPr id="24" name="テキスト ボックス 23">
          <a:extLst>
            <a:ext uri="{FF2B5EF4-FFF2-40B4-BE49-F238E27FC236}">
              <a16:creationId xmlns:a16="http://schemas.microsoft.com/office/drawing/2014/main" id="{F55E7FA4-9CAA-4B8F-86C8-618B75B70D4D}"/>
            </a:ext>
          </a:extLst>
        </xdr:cNvPr>
        <xdr:cNvSpPr txBox="1"/>
      </xdr:nvSpPr>
      <xdr:spPr>
        <a:xfrm>
          <a:off x="666751" y="6858000"/>
          <a:ext cx="2735036" cy="1959429"/>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水道種別や維持管理体制を現状から変更する場合は，法制度の確認等が必要な場合があります．現在給水人口は，実態に応じて入力して下さい．</a:t>
          </a:r>
          <a:endParaRPr kumimoji="1" lang="en-US" altLang="ja-JP" sz="1100" kern="1200"/>
        </a:p>
        <a:p>
          <a:r>
            <a:rPr kumimoji="1" lang="ja-JP" altLang="en-US" sz="1100" kern="1200"/>
            <a:t>配水能力は，施設の選択等の基準になります．日最大給水量がわかる場合は，参考にしてください．</a:t>
          </a:r>
        </a:p>
      </xdr:txBody>
    </xdr:sp>
    <xdr:clientData/>
  </xdr:twoCellAnchor>
  <xdr:twoCellAnchor>
    <xdr:from>
      <xdr:col>5</xdr:col>
      <xdr:colOff>1</xdr:colOff>
      <xdr:row>27</xdr:row>
      <xdr:rowOff>136382</xdr:rowOff>
    </xdr:from>
    <xdr:to>
      <xdr:col>6</xdr:col>
      <xdr:colOff>464244</xdr:colOff>
      <xdr:row>32</xdr:row>
      <xdr:rowOff>1</xdr:rowOff>
    </xdr:to>
    <xdr:cxnSp macro="">
      <xdr:nvCxnSpPr>
        <xdr:cNvPr id="25" name="直線コネクタ 24">
          <a:extLst>
            <a:ext uri="{FF2B5EF4-FFF2-40B4-BE49-F238E27FC236}">
              <a16:creationId xmlns:a16="http://schemas.microsoft.com/office/drawing/2014/main" id="{93119DD5-1C64-4E27-A4F8-EE2110CE9B07}"/>
            </a:ext>
          </a:extLst>
        </xdr:cNvPr>
        <xdr:cNvCxnSpPr>
          <a:cxnSpLocks/>
          <a:stCxn id="26" idx="1"/>
          <a:endCxn id="24" idx="3"/>
        </xdr:cNvCxnSpPr>
      </xdr:nvCxnSpPr>
      <xdr:spPr>
        <a:xfrm flipH="1">
          <a:off x="3401787" y="6749453"/>
          <a:ext cx="1144600" cy="108826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464244</xdr:colOff>
      <xdr:row>25</xdr:row>
      <xdr:rowOff>47625</xdr:rowOff>
    </xdr:from>
    <xdr:to>
      <xdr:col>6</xdr:col>
      <xdr:colOff>627529</xdr:colOff>
      <xdr:row>29</xdr:row>
      <xdr:rowOff>225137</xdr:rowOff>
    </xdr:to>
    <xdr:sp macro="" textlink="">
      <xdr:nvSpPr>
        <xdr:cNvPr id="26" name="左大かっこ 25">
          <a:extLst>
            <a:ext uri="{FF2B5EF4-FFF2-40B4-BE49-F238E27FC236}">
              <a16:creationId xmlns:a16="http://schemas.microsoft.com/office/drawing/2014/main" id="{60571D50-D18E-423E-AD6B-FA57068B403C}"/>
            </a:ext>
          </a:extLst>
        </xdr:cNvPr>
        <xdr:cNvSpPr/>
      </xdr:nvSpPr>
      <xdr:spPr>
        <a:xfrm>
          <a:off x="3198479" y="5930713"/>
          <a:ext cx="163285" cy="1118806"/>
        </a:xfrm>
        <a:prstGeom prst="lef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0</xdr:col>
      <xdr:colOff>680356</xdr:colOff>
      <xdr:row>8</xdr:row>
      <xdr:rowOff>153758</xdr:rowOff>
    </xdr:from>
    <xdr:to>
      <xdr:col>5</xdr:col>
      <xdr:colOff>0</xdr:colOff>
      <xdr:row>12</xdr:row>
      <xdr:rowOff>13606</xdr:rowOff>
    </xdr:to>
    <xdr:sp macro="" textlink="">
      <xdr:nvSpPr>
        <xdr:cNvPr id="43" name="テキスト ボックス 42">
          <a:extLst>
            <a:ext uri="{FF2B5EF4-FFF2-40B4-BE49-F238E27FC236}">
              <a16:creationId xmlns:a16="http://schemas.microsoft.com/office/drawing/2014/main" id="{D61E01EC-E1F8-719C-C40C-5718AF8FAA2F}"/>
            </a:ext>
          </a:extLst>
        </xdr:cNvPr>
        <xdr:cNvSpPr txBox="1"/>
      </xdr:nvSpPr>
      <xdr:spPr>
        <a:xfrm>
          <a:off x="680356" y="2113187"/>
          <a:ext cx="2721430" cy="8395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入力完了後にチェックボックスをオンにすることで，推計値が”比較評価”シートに表示されます．</a:t>
          </a:r>
        </a:p>
      </xdr:txBody>
    </xdr:sp>
    <xdr:clientData/>
  </xdr:twoCellAnchor>
  <xdr:twoCellAnchor>
    <xdr:from>
      <xdr:col>5</xdr:col>
      <xdr:colOff>0</xdr:colOff>
      <xdr:row>9</xdr:row>
      <xdr:rowOff>0</xdr:rowOff>
    </xdr:from>
    <xdr:to>
      <xdr:col>6</xdr:col>
      <xdr:colOff>326571</xdr:colOff>
      <xdr:row>10</xdr:row>
      <xdr:rowOff>83682</xdr:rowOff>
    </xdr:to>
    <xdr:cxnSp macro="">
      <xdr:nvCxnSpPr>
        <xdr:cNvPr id="44" name="直線コネクタ 43">
          <a:extLst>
            <a:ext uri="{FF2B5EF4-FFF2-40B4-BE49-F238E27FC236}">
              <a16:creationId xmlns:a16="http://schemas.microsoft.com/office/drawing/2014/main" id="{489114D4-8DF3-787D-2A56-C1692D9518DE}"/>
            </a:ext>
          </a:extLst>
        </xdr:cNvPr>
        <xdr:cNvCxnSpPr>
          <a:stCxn id="43" idx="3"/>
        </xdr:cNvCxnSpPr>
      </xdr:nvCxnSpPr>
      <xdr:spPr>
        <a:xfrm flipV="1">
          <a:off x="3401786" y="2204357"/>
          <a:ext cx="1006928" cy="3286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3184072</xdr:colOff>
      <xdr:row>63</xdr:row>
      <xdr:rowOff>0</xdr:rowOff>
    </xdr:from>
    <xdr:to>
      <xdr:col>7</xdr:col>
      <xdr:colOff>270906</xdr:colOff>
      <xdr:row>64</xdr:row>
      <xdr:rowOff>188026</xdr:rowOff>
    </xdr:to>
    <xdr:sp macro="" textlink="">
      <xdr:nvSpPr>
        <xdr:cNvPr id="2" name="テキスト ボックス 1">
          <a:extLst>
            <a:ext uri="{FF2B5EF4-FFF2-40B4-BE49-F238E27FC236}">
              <a16:creationId xmlns:a16="http://schemas.microsoft.com/office/drawing/2014/main" id="{B272B4A3-DF6E-4527-9A1F-B4D78E4A888F}"/>
            </a:ext>
          </a:extLst>
        </xdr:cNvPr>
        <xdr:cNvSpPr txBox="1"/>
      </xdr:nvSpPr>
      <xdr:spPr>
        <a:xfrm>
          <a:off x="10776858" y="18206357"/>
          <a:ext cx="1835727" cy="432955"/>
        </a:xfrm>
        <a:prstGeom prst="rect">
          <a:avLst/>
        </a:prstGeom>
        <a:solidFill>
          <a:schemeClr val="lt1"/>
        </a:solidFill>
        <a:ln w="285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lumMod val="50000"/>
                  <a:lumOff val="50000"/>
                </a:schemeClr>
              </a:solidFill>
            </a:rPr>
            <a:t>メンテナンス中</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27215</xdr:colOff>
      <xdr:row>14</xdr:row>
      <xdr:rowOff>0</xdr:rowOff>
    </xdr:from>
    <xdr:to>
      <xdr:col>5</xdr:col>
      <xdr:colOff>2217965</xdr:colOff>
      <xdr:row>33</xdr:row>
      <xdr:rowOff>4082</xdr:rowOff>
    </xdr:to>
    <xdr:graphicFrame macro="">
      <xdr:nvGraphicFramePr>
        <xdr:cNvPr id="4" name="グラフ 3">
          <a:extLst>
            <a:ext uri="{FF2B5EF4-FFF2-40B4-BE49-F238E27FC236}">
              <a16:creationId xmlns:a16="http://schemas.microsoft.com/office/drawing/2014/main" id="{F0F162B9-3358-1BA4-EDB4-0AEAC208CC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144520</xdr:colOff>
      <xdr:row>3</xdr:row>
      <xdr:rowOff>0</xdr:rowOff>
    </xdr:from>
    <xdr:to>
      <xdr:col>6</xdr:col>
      <xdr:colOff>144520</xdr:colOff>
      <xdr:row>20</xdr:row>
      <xdr:rowOff>22412</xdr:rowOff>
    </xdr:to>
    <xdr:cxnSp macro="">
      <xdr:nvCxnSpPr>
        <xdr:cNvPr id="2" name="直線コネクタ 1">
          <a:extLst>
            <a:ext uri="{FF2B5EF4-FFF2-40B4-BE49-F238E27FC236}">
              <a16:creationId xmlns:a16="http://schemas.microsoft.com/office/drawing/2014/main" id="{3AF559E4-5F16-4BE6-A584-95EA38BA3A2E}"/>
            </a:ext>
          </a:extLst>
        </xdr:cNvPr>
        <xdr:cNvCxnSpPr/>
      </xdr:nvCxnSpPr>
      <xdr:spPr>
        <a:xfrm>
          <a:off x="4354570"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18</xdr:row>
      <xdr:rowOff>151843</xdr:rowOff>
    </xdr:from>
    <xdr:to>
      <xdr:col>20</xdr:col>
      <xdr:colOff>168088</xdr:colOff>
      <xdr:row>18</xdr:row>
      <xdr:rowOff>151843</xdr:rowOff>
    </xdr:to>
    <xdr:cxnSp macro="">
      <xdr:nvCxnSpPr>
        <xdr:cNvPr id="3" name="直線矢印コネクタ 2">
          <a:extLst>
            <a:ext uri="{FF2B5EF4-FFF2-40B4-BE49-F238E27FC236}">
              <a16:creationId xmlns:a16="http://schemas.microsoft.com/office/drawing/2014/main" id="{99B8A1FD-5577-4404-A340-4DB3986A66E3}"/>
            </a:ext>
          </a:extLst>
        </xdr:cNvPr>
        <xdr:cNvCxnSpPr/>
      </xdr:nvCxnSpPr>
      <xdr:spPr>
        <a:xfrm>
          <a:off x="4378138" y="4438093"/>
          <a:ext cx="10296525" cy="0"/>
        </a:xfrm>
        <a:prstGeom prst="straightConnector1">
          <a:avLst/>
        </a:prstGeom>
        <a:ln w="28575">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154046</xdr:colOff>
      <xdr:row>18</xdr:row>
      <xdr:rowOff>156882</xdr:rowOff>
    </xdr:from>
    <xdr:to>
      <xdr:col>13</xdr:col>
      <xdr:colOff>154046</xdr:colOff>
      <xdr:row>20</xdr:row>
      <xdr:rowOff>13607</xdr:rowOff>
    </xdr:to>
    <xdr:cxnSp macro="">
      <xdr:nvCxnSpPr>
        <xdr:cNvPr id="4" name="直線コネクタ 3">
          <a:extLst>
            <a:ext uri="{FF2B5EF4-FFF2-40B4-BE49-F238E27FC236}">
              <a16:creationId xmlns:a16="http://schemas.microsoft.com/office/drawing/2014/main" id="{9345B3F3-3AEE-402D-9E3C-BA21187B0766}"/>
            </a:ext>
          </a:extLst>
        </xdr:cNvPr>
        <xdr:cNvCxnSpPr/>
      </xdr:nvCxnSpPr>
      <xdr:spPr>
        <a:xfrm>
          <a:off x="9326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103806</xdr:colOff>
      <xdr:row>2</xdr:row>
      <xdr:rowOff>67134</xdr:rowOff>
    </xdr:from>
    <xdr:to>
      <xdr:col>5</xdr:col>
      <xdr:colOff>418131</xdr:colOff>
      <xdr:row>2</xdr:row>
      <xdr:rowOff>179654</xdr:rowOff>
    </xdr:to>
    <xdr:sp macro="" textlink="">
      <xdr:nvSpPr>
        <xdr:cNvPr id="5" name="矢印: 右 4">
          <a:extLst>
            <a:ext uri="{FF2B5EF4-FFF2-40B4-BE49-F238E27FC236}">
              <a16:creationId xmlns:a16="http://schemas.microsoft.com/office/drawing/2014/main" id="{1C399C26-F881-4B9B-9425-2805755BC0DB}"/>
            </a:ext>
          </a:extLst>
        </xdr:cNvPr>
        <xdr:cNvSpPr/>
      </xdr:nvSpPr>
      <xdr:spPr>
        <a:xfrm>
          <a:off x="3742356" y="543384"/>
          <a:ext cx="314325" cy="112520"/>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34050</xdr:colOff>
      <xdr:row>2</xdr:row>
      <xdr:rowOff>52387</xdr:rowOff>
    </xdr:from>
    <xdr:to>
      <xdr:col>13</xdr:col>
      <xdr:colOff>228600</xdr:colOff>
      <xdr:row>2</xdr:row>
      <xdr:rowOff>173182</xdr:rowOff>
    </xdr:to>
    <xdr:sp macro="" textlink="">
      <xdr:nvSpPr>
        <xdr:cNvPr id="6" name="矢印: 右 5">
          <a:extLst>
            <a:ext uri="{FF2B5EF4-FFF2-40B4-BE49-F238E27FC236}">
              <a16:creationId xmlns:a16="http://schemas.microsoft.com/office/drawing/2014/main" id="{A80AEA01-1DC8-4DFC-8EE4-AF4DFC16ADB8}"/>
            </a:ext>
          </a:extLst>
        </xdr:cNvPr>
        <xdr:cNvSpPr/>
      </xdr:nvSpPr>
      <xdr:spPr>
        <a:xfrm>
          <a:off x="8054100" y="528637"/>
          <a:ext cx="1347075" cy="120795"/>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154046</xdr:colOff>
      <xdr:row>18</xdr:row>
      <xdr:rowOff>156882</xdr:rowOff>
    </xdr:from>
    <xdr:to>
      <xdr:col>20</xdr:col>
      <xdr:colOff>154046</xdr:colOff>
      <xdr:row>20</xdr:row>
      <xdr:rowOff>13607</xdr:rowOff>
    </xdr:to>
    <xdr:cxnSp macro="">
      <xdr:nvCxnSpPr>
        <xdr:cNvPr id="7" name="直線コネクタ 6">
          <a:extLst>
            <a:ext uri="{FF2B5EF4-FFF2-40B4-BE49-F238E27FC236}">
              <a16:creationId xmlns:a16="http://schemas.microsoft.com/office/drawing/2014/main" id="{DA453CBD-DCB5-4DD0-A243-15F38CC833A8}"/>
            </a:ext>
          </a:extLst>
        </xdr:cNvPr>
        <xdr:cNvCxnSpPr/>
      </xdr:nvCxnSpPr>
      <xdr:spPr>
        <a:xfrm>
          <a:off x="14660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4</xdr:row>
          <xdr:rowOff>228600</xdr:rowOff>
        </xdr:from>
        <xdr:to>
          <xdr:col>3</xdr:col>
          <xdr:colOff>85725</xdr:colOff>
          <xdr:row>6</xdr:row>
          <xdr:rowOff>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5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228600</xdr:rowOff>
        </xdr:from>
        <xdr:to>
          <xdr:col>3</xdr:col>
          <xdr:colOff>85725</xdr:colOff>
          <xdr:row>7</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5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144520</xdr:colOff>
      <xdr:row>3</xdr:row>
      <xdr:rowOff>0</xdr:rowOff>
    </xdr:from>
    <xdr:to>
      <xdr:col>1</xdr:col>
      <xdr:colOff>144520</xdr:colOff>
      <xdr:row>20</xdr:row>
      <xdr:rowOff>22412</xdr:rowOff>
    </xdr:to>
    <xdr:cxnSp macro="">
      <xdr:nvCxnSpPr>
        <xdr:cNvPr id="8" name="直線コネクタ 7">
          <a:extLst>
            <a:ext uri="{FF2B5EF4-FFF2-40B4-BE49-F238E27FC236}">
              <a16:creationId xmlns:a16="http://schemas.microsoft.com/office/drawing/2014/main" id="{DF2DD245-B1BE-498B-8E7F-79821AEACAEE}"/>
            </a:ext>
          </a:extLst>
        </xdr:cNvPr>
        <xdr:cNvCxnSpPr/>
      </xdr:nvCxnSpPr>
      <xdr:spPr>
        <a:xfrm>
          <a:off x="344545"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144520</xdr:colOff>
      <xdr:row>3</xdr:row>
      <xdr:rowOff>0</xdr:rowOff>
    </xdr:from>
    <xdr:to>
      <xdr:col>6</xdr:col>
      <xdr:colOff>144520</xdr:colOff>
      <xdr:row>20</xdr:row>
      <xdr:rowOff>22412</xdr:rowOff>
    </xdr:to>
    <xdr:cxnSp macro="">
      <xdr:nvCxnSpPr>
        <xdr:cNvPr id="2" name="直線コネクタ 1">
          <a:extLst>
            <a:ext uri="{FF2B5EF4-FFF2-40B4-BE49-F238E27FC236}">
              <a16:creationId xmlns:a16="http://schemas.microsoft.com/office/drawing/2014/main" id="{44D142CA-C640-4253-AF5C-714D4AFB7727}"/>
            </a:ext>
          </a:extLst>
        </xdr:cNvPr>
        <xdr:cNvCxnSpPr/>
      </xdr:nvCxnSpPr>
      <xdr:spPr>
        <a:xfrm>
          <a:off x="4354570"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18</xdr:row>
      <xdr:rowOff>151843</xdr:rowOff>
    </xdr:from>
    <xdr:to>
      <xdr:col>20</xdr:col>
      <xdr:colOff>168088</xdr:colOff>
      <xdr:row>18</xdr:row>
      <xdr:rowOff>151843</xdr:rowOff>
    </xdr:to>
    <xdr:cxnSp macro="">
      <xdr:nvCxnSpPr>
        <xdr:cNvPr id="3" name="直線矢印コネクタ 2">
          <a:extLst>
            <a:ext uri="{FF2B5EF4-FFF2-40B4-BE49-F238E27FC236}">
              <a16:creationId xmlns:a16="http://schemas.microsoft.com/office/drawing/2014/main" id="{367F22E0-3C84-4C56-8A8B-8E5567FA3E70}"/>
            </a:ext>
          </a:extLst>
        </xdr:cNvPr>
        <xdr:cNvCxnSpPr/>
      </xdr:nvCxnSpPr>
      <xdr:spPr>
        <a:xfrm>
          <a:off x="4378138" y="4438093"/>
          <a:ext cx="10296525" cy="0"/>
        </a:xfrm>
        <a:prstGeom prst="straightConnector1">
          <a:avLst/>
        </a:prstGeom>
        <a:ln w="28575">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154046</xdr:colOff>
      <xdr:row>18</xdr:row>
      <xdr:rowOff>156882</xdr:rowOff>
    </xdr:from>
    <xdr:to>
      <xdr:col>13</xdr:col>
      <xdr:colOff>154046</xdr:colOff>
      <xdr:row>20</xdr:row>
      <xdr:rowOff>13607</xdr:rowOff>
    </xdr:to>
    <xdr:cxnSp macro="">
      <xdr:nvCxnSpPr>
        <xdr:cNvPr id="4" name="直線コネクタ 3">
          <a:extLst>
            <a:ext uri="{FF2B5EF4-FFF2-40B4-BE49-F238E27FC236}">
              <a16:creationId xmlns:a16="http://schemas.microsoft.com/office/drawing/2014/main" id="{43686623-922E-45E3-9B9D-B4B09C1A7AE1}"/>
            </a:ext>
          </a:extLst>
        </xdr:cNvPr>
        <xdr:cNvCxnSpPr/>
      </xdr:nvCxnSpPr>
      <xdr:spPr>
        <a:xfrm>
          <a:off x="9326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103806</xdr:colOff>
      <xdr:row>2</xdr:row>
      <xdr:rowOff>67134</xdr:rowOff>
    </xdr:from>
    <xdr:to>
      <xdr:col>5</xdr:col>
      <xdr:colOff>418131</xdr:colOff>
      <xdr:row>2</xdr:row>
      <xdr:rowOff>179654</xdr:rowOff>
    </xdr:to>
    <xdr:sp macro="" textlink="">
      <xdr:nvSpPr>
        <xdr:cNvPr id="5" name="矢印: 右 4">
          <a:extLst>
            <a:ext uri="{FF2B5EF4-FFF2-40B4-BE49-F238E27FC236}">
              <a16:creationId xmlns:a16="http://schemas.microsoft.com/office/drawing/2014/main" id="{F5239D67-0886-4CB6-9106-6A2DD208E61E}"/>
            </a:ext>
          </a:extLst>
        </xdr:cNvPr>
        <xdr:cNvSpPr/>
      </xdr:nvSpPr>
      <xdr:spPr>
        <a:xfrm>
          <a:off x="3742356" y="543384"/>
          <a:ext cx="314325" cy="112520"/>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34050</xdr:colOff>
      <xdr:row>2</xdr:row>
      <xdr:rowOff>52387</xdr:rowOff>
    </xdr:from>
    <xdr:to>
      <xdr:col>13</xdr:col>
      <xdr:colOff>228600</xdr:colOff>
      <xdr:row>2</xdr:row>
      <xdr:rowOff>173182</xdr:rowOff>
    </xdr:to>
    <xdr:sp macro="" textlink="">
      <xdr:nvSpPr>
        <xdr:cNvPr id="6" name="矢印: 右 5">
          <a:extLst>
            <a:ext uri="{FF2B5EF4-FFF2-40B4-BE49-F238E27FC236}">
              <a16:creationId xmlns:a16="http://schemas.microsoft.com/office/drawing/2014/main" id="{E7B436A1-2811-47AF-AAD2-65A4A8D90F36}"/>
            </a:ext>
          </a:extLst>
        </xdr:cNvPr>
        <xdr:cNvSpPr/>
      </xdr:nvSpPr>
      <xdr:spPr>
        <a:xfrm>
          <a:off x="8054100" y="528637"/>
          <a:ext cx="1347075" cy="120795"/>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154046</xdr:colOff>
      <xdr:row>18</xdr:row>
      <xdr:rowOff>156882</xdr:rowOff>
    </xdr:from>
    <xdr:to>
      <xdr:col>20</xdr:col>
      <xdr:colOff>154046</xdr:colOff>
      <xdr:row>20</xdr:row>
      <xdr:rowOff>13607</xdr:rowOff>
    </xdr:to>
    <xdr:cxnSp macro="">
      <xdr:nvCxnSpPr>
        <xdr:cNvPr id="7" name="直線コネクタ 6">
          <a:extLst>
            <a:ext uri="{FF2B5EF4-FFF2-40B4-BE49-F238E27FC236}">
              <a16:creationId xmlns:a16="http://schemas.microsoft.com/office/drawing/2014/main" id="{EB1B1D81-FACA-4986-9BF5-E440A999D0DF}"/>
            </a:ext>
          </a:extLst>
        </xdr:cNvPr>
        <xdr:cNvCxnSpPr/>
      </xdr:nvCxnSpPr>
      <xdr:spPr>
        <a:xfrm>
          <a:off x="14660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5</xdr:row>
          <xdr:rowOff>228600</xdr:rowOff>
        </xdr:from>
        <xdr:to>
          <xdr:col>3</xdr:col>
          <xdr:colOff>85725</xdr:colOff>
          <xdr:row>7</xdr:row>
          <xdr:rowOff>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6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144520</xdr:colOff>
      <xdr:row>3</xdr:row>
      <xdr:rowOff>0</xdr:rowOff>
    </xdr:from>
    <xdr:to>
      <xdr:col>1</xdr:col>
      <xdr:colOff>144520</xdr:colOff>
      <xdr:row>20</xdr:row>
      <xdr:rowOff>22412</xdr:rowOff>
    </xdr:to>
    <xdr:cxnSp macro="">
      <xdr:nvCxnSpPr>
        <xdr:cNvPr id="8" name="直線コネクタ 7">
          <a:extLst>
            <a:ext uri="{FF2B5EF4-FFF2-40B4-BE49-F238E27FC236}">
              <a16:creationId xmlns:a16="http://schemas.microsoft.com/office/drawing/2014/main" id="{726C8145-943C-42ED-8099-B14CE2AE51CC}"/>
            </a:ext>
          </a:extLst>
        </xdr:cNvPr>
        <xdr:cNvCxnSpPr/>
      </xdr:nvCxnSpPr>
      <xdr:spPr>
        <a:xfrm>
          <a:off x="344545"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144520</xdr:colOff>
      <xdr:row>3</xdr:row>
      <xdr:rowOff>0</xdr:rowOff>
    </xdr:from>
    <xdr:to>
      <xdr:col>6</xdr:col>
      <xdr:colOff>144520</xdr:colOff>
      <xdr:row>20</xdr:row>
      <xdr:rowOff>22412</xdr:rowOff>
    </xdr:to>
    <xdr:cxnSp macro="">
      <xdr:nvCxnSpPr>
        <xdr:cNvPr id="2" name="直線コネクタ 1">
          <a:extLst>
            <a:ext uri="{FF2B5EF4-FFF2-40B4-BE49-F238E27FC236}">
              <a16:creationId xmlns:a16="http://schemas.microsoft.com/office/drawing/2014/main" id="{7D39C0DB-C0BC-4607-BB67-DC315B0A216D}"/>
            </a:ext>
          </a:extLst>
        </xdr:cNvPr>
        <xdr:cNvCxnSpPr/>
      </xdr:nvCxnSpPr>
      <xdr:spPr>
        <a:xfrm>
          <a:off x="4354570"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18</xdr:row>
      <xdr:rowOff>151843</xdr:rowOff>
    </xdr:from>
    <xdr:to>
      <xdr:col>20</xdr:col>
      <xdr:colOff>168088</xdr:colOff>
      <xdr:row>18</xdr:row>
      <xdr:rowOff>151843</xdr:rowOff>
    </xdr:to>
    <xdr:cxnSp macro="">
      <xdr:nvCxnSpPr>
        <xdr:cNvPr id="3" name="直線矢印コネクタ 2">
          <a:extLst>
            <a:ext uri="{FF2B5EF4-FFF2-40B4-BE49-F238E27FC236}">
              <a16:creationId xmlns:a16="http://schemas.microsoft.com/office/drawing/2014/main" id="{827C904A-BFB4-44DE-AFF8-BE084E2EBF14}"/>
            </a:ext>
          </a:extLst>
        </xdr:cNvPr>
        <xdr:cNvCxnSpPr/>
      </xdr:nvCxnSpPr>
      <xdr:spPr>
        <a:xfrm>
          <a:off x="4378138" y="4438093"/>
          <a:ext cx="10296525" cy="0"/>
        </a:xfrm>
        <a:prstGeom prst="straightConnector1">
          <a:avLst/>
        </a:prstGeom>
        <a:ln w="28575">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154046</xdr:colOff>
      <xdr:row>18</xdr:row>
      <xdr:rowOff>156882</xdr:rowOff>
    </xdr:from>
    <xdr:to>
      <xdr:col>13</xdr:col>
      <xdr:colOff>154046</xdr:colOff>
      <xdr:row>20</xdr:row>
      <xdr:rowOff>13607</xdr:rowOff>
    </xdr:to>
    <xdr:cxnSp macro="">
      <xdr:nvCxnSpPr>
        <xdr:cNvPr id="4" name="直線コネクタ 3">
          <a:extLst>
            <a:ext uri="{FF2B5EF4-FFF2-40B4-BE49-F238E27FC236}">
              <a16:creationId xmlns:a16="http://schemas.microsoft.com/office/drawing/2014/main" id="{3BD80ECF-3610-45AB-A83D-F85E501F2C36}"/>
            </a:ext>
          </a:extLst>
        </xdr:cNvPr>
        <xdr:cNvCxnSpPr/>
      </xdr:nvCxnSpPr>
      <xdr:spPr>
        <a:xfrm>
          <a:off x="9326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103806</xdr:colOff>
      <xdr:row>2</xdr:row>
      <xdr:rowOff>67134</xdr:rowOff>
    </xdr:from>
    <xdr:to>
      <xdr:col>5</xdr:col>
      <xdr:colOff>418131</xdr:colOff>
      <xdr:row>2</xdr:row>
      <xdr:rowOff>179654</xdr:rowOff>
    </xdr:to>
    <xdr:sp macro="" textlink="">
      <xdr:nvSpPr>
        <xdr:cNvPr id="5" name="矢印: 右 4">
          <a:extLst>
            <a:ext uri="{FF2B5EF4-FFF2-40B4-BE49-F238E27FC236}">
              <a16:creationId xmlns:a16="http://schemas.microsoft.com/office/drawing/2014/main" id="{81F850B9-554A-4C29-81F2-3AE69BEE8AD3}"/>
            </a:ext>
          </a:extLst>
        </xdr:cNvPr>
        <xdr:cNvSpPr/>
      </xdr:nvSpPr>
      <xdr:spPr>
        <a:xfrm>
          <a:off x="3742356" y="543384"/>
          <a:ext cx="314325" cy="112520"/>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34050</xdr:colOff>
      <xdr:row>2</xdr:row>
      <xdr:rowOff>52387</xdr:rowOff>
    </xdr:from>
    <xdr:to>
      <xdr:col>13</xdr:col>
      <xdr:colOff>228600</xdr:colOff>
      <xdr:row>2</xdr:row>
      <xdr:rowOff>173182</xdr:rowOff>
    </xdr:to>
    <xdr:sp macro="" textlink="">
      <xdr:nvSpPr>
        <xdr:cNvPr id="6" name="矢印: 右 5">
          <a:extLst>
            <a:ext uri="{FF2B5EF4-FFF2-40B4-BE49-F238E27FC236}">
              <a16:creationId xmlns:a16="http://schemas.microsoft.com/office/drawing/2014/main" id="{52B3C09A-5594-46EB-A60B-93FADFA38347}"/>
            </a:ext>
          </a:extLst>
        </xdr:cNvPr>
        <xdr:cNvSpPr/>
      </xdr:nvSpPr>
      <xdr:spPr>
        <a:xfrm>
          <a:off x="8054100" y="528637"/>
          <a:ext cx="1347075" cy="120795"/>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154046</xdr:colOff>
      <xdr:row>18</xdr:row>
      <xdr:rowOff>156882</xdr:rowOff>
    </xdr:from>
    <xdr:to>
      <xdr:col>20</xdr:col>
      <xdr:colOff>154046</xdr:colOff>
      <xdr:row>20</xdr:row>
      <xdr:rowOff>13607</xdr:rowOff>
    </xdr:to>
    <xdr:cxnSp macro="">
      <xdr:nvCxnSpPr>
        <xdr:cNvPr id="7" name="直線コネクタ 6">
          <a:extLst>
            <a:ext uri="{FF2B5EF4-FFF2-40B4-BE49-F238E27FC236}">
              <a16:creationId xmlns:a16="http://schemas.microsoft.com/office/drawing/2014/main" id="{4BE1DF2F-04C2-44C2-A223-0C5237DE3C8D}"/>
            </a:ext>
          </a:extLst>
        </xdr:cNvPr>
        <xdr:cNvCxnSpPr/>
      </xdr:nvCxnSpPr>
      <xdr:spPr>
        <a:xfrm>
          <a:off x="14660621" y="4443132"/>
          <a:ext cx="0" cy="332975"/>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5</xdr:row>
          <xdr:rowOff>228600</xdr:rowOff>
        </xdr:from>
        <xdr:to>
          <xdr:col>3</xdr:col>
          <xdr:colOff>85725</xdr:colOff>
          <xdr:row>7</xdr:row>
          <xdr:rowOff>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7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144520</xdr:colOff>
      <xdr:row>3</xdr:row>
      <xdr:rowOff>0</xdr:rowOff>
    </xdr:from>
    <xdr:to>
      <xdr:col>1</xdr:col>
      <xdr:colOff>144520</xdr:colOff>
      <xdr:row>20</xdr:row>
      <xdr:rowOff>22412</xdr:rowOff>
    </xdr:to>
    <xdr:cxnSp macro="">
      <xdr:nvCxnSpPr>
        <xdr:cNvPr id="8" name="直線コネクタ 7">
          <a:extLst>
            <a:ext uri="{FF2B5EF4-FFF2-40B4-BE49-F238E27FC236}">
              <a16:creationId xmlns:a16="http://schemas.microsoft.com/office/drawing/2014/main" id="{EB3E4185-8F69-49EC-A3E7-5E0E2AB2E41A}"/>
            </a:ext>
          </a:extLst>
        </xdr:cNvPr>
        <xdr:cNvCxnSpPr/>
      </xdr:nvCxnSpPr>
      <xdr:spPr>
        <a:xfrm>
          <a:off x="344545" y="714375"/>
          <a:ext cx="0" cy="4070537"/>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144520</xdr:colOff>
      <xdr:row>3</xdr:row>
      <xdr:rowOff>0</xdr:rowOff>
    </xdr:from>
    <xdr:to>
      <xdr:col>6</xdr:col>
      <xdr:colOff>144520</xdr:colOff>
      <xdr:row>20</xdr:row>
      <xdr:rowOff>22412</xdr:rowOff>
    </xdr:to>
    <xdr:cxnSp macro="">
      <xdr:nvCxnSpPr>
        <xdr:cNvPr id="2" name="直線コネクタ 1">
          <a:extLst>
            <a:ext uri="{FF2B5EF4-FFF2-40B4-BE49-F238E27FC236}">
              <a16:creationId xmlns:a16="http://schemas.microsoft.com/office/drawing/2014/main" id="{1824C24E-C35C-4BF7-AD51-2186ED255950}"/>
            </a:ext>
          </a:extLst>
        </xdr:cNvPr>
        <xdr:cNvCxnSpPr/>
      </xdr:nvCxnSpPr>
      <xdr:spPr>
        <a:xfrm>
          <a:off x="4727726" y="705971"/>
          <a:ext cx="0" cy="2610970"/>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168088</xdr:colOff>
      <xdr:row>18</xdr:row>
      <xdr:rowOff>151843</xdr:rowOff>
    </xdr:from>
    <xdr:to>
      <xdr:col>20</xdr:col>
      <xdr:colOff>168088</xdr:colOff>
      <xdr:row>18</xdr:row>
      <xdr:rowOff>151843</xdr:rowOff>
    </xdr:to>
    <xdr:cxnSp macro="">
      <xdr:nvCxnSpPr>
        <xdr:cNvPr id="3" name="直線矢印コネクタ 2">
          <a:extLst>
            <a:ext uri="{FF2B5EF4-FFF2-40B4-BE49-F238E27FC236}">
              <a16:creationId xmlns:a16="http://schemas.microsoft.com/office/drawing/2014/main" id="{2F6A648C-3C15-4F87-B77D-B2EFED68A851}"/>
            </a:ext>
          </a:extLst>
        </xdr:cNvPr>
        <xdr:cNvCxnSpPr/>
      </xdr:nvCxnSpPr>
      <xdr:spPr>
        <a:xfrm>
          <a:off x="4179794" y="4387667"/>
          <a:ext cx="10309412" cy="0"/>
        </a:xfrm>
        <a:prstGeom prst="straightConnector1">
          <a:avLst/>
        </a:prstGeom>
        <a:ln w="28575">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154046</xdr:colOff>
      <xdr:row>18</xdr:row>
      <xdr:rowOff>156882</xdr:rowOff>
    </xdr:from>
    <xdr:to>
      <xdr:col>13</xdr:col>
      <xdr:colOff>154046</xdr:colOff>
      <xdr:row>20</xdr:row>
      <xdr:rowOff>13607</xdr:rowOff>
    </xdr:to>
    <xdr:cxnSp macro="">
      <xdr:nvCxnSpPr>
        <xdr:cNvPr id="4" name="直線コネクタ 3">
          <a:extLst>
            <a:ext uri="{FF2B5EF4-FFF2-40B4-BE49-F238E27FC236}">
              <a16:creationId xmlns:a16="http://schemas.microsoft.com/office/drawing/2014/main" id="{AAACCED8-C782-403F-8A32-65398E66AD81}"/>
            </a:ext>
          </a:extLst>
        </xdr:cNvPr>
        <xdr:cNvCxnSpPr/>
      </xdr:nvCxnSpPr>
      <xdr:spPr>
        <a:xfrm>
          <a:off x="9802311" y="2980764"/>
          <a:ext cx="0" cy="327372"/>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103806</xdr:colOff>
      <xdr:row>2</xdr:row>
      <xdr:rowOff>67134</xdr:rowOff>
    </xdr:from>
    <xdr:to>
      <xdr:col>5</xdr:col>
      <xdr:colOff>418131</xdr:colOff>
      <xdr:row>2</xdr:row>
      <xdr:rowOff>179654</xdr:rowOff>
    </xdr:to>
    <xdr:sp macro="" textlink="">
      <xdr:nvSpPr>
        <xdr:cNvPr id="5" name="矢印: 右 4">
          <a:extLst>
            <a:ext uri="{FF2B5EF4-FFF2-40B4-BE49-F238E27FC236}">
              <a16:creationId xmlns:a16="http://schemas.microsoft.com/office/drawing/2014/main" id="{859C213F-83AA-458D-A017-4FA535EE68C0}"/>
            </a:ext>
          </a:extLst>
        </xdr:cNvPr>
        <xdr:cNvSpPr/>
      </xdr:nvSpPr>
      <xdr:spPr>
        <a:xfrm>
          <a:off x="3913806" y="543384"/>
          <a:ext cx="314325" cy="112520"/>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34050</xdr:colOff>
      <xdr:row>2</xdr:row>
      <xdr:rowOff>52387</xdr:rowOff>
    </xdr:from>
    <xdr:to>
      <xdr:col>13</xdr:col>
      <xdr:colOff>228600</xdr:colOff>
      <xdr:row>2</xdr:row>
      <xdr:rowOff>173182</xdr:rowOff>
    </xdr:to>
    <xdr:sp macro="" textlink="">
      <xdr:nvSpPr>
        <xdr:cNvPr id="6" name="矢印: 右 5">
          <a:extLst>
            <a:ext uri="{FF2B5EF4-FFF2-40B4-BE49-F238E27FC236}">
              <a16:creationId xmlns:a16="http://schemas.microsoft.com/office/drawing/2014/main" id="{AC4AA1F5-6EA0-4D83-9DB1-D9E86DEF5D0E}"/>
            </a:ext>
          </a:extLst>
        </xdr:cNvPr>
        <xdr:cNvSpPr/>
      </xdr:nvSpPr>
      <xdr:spPr>
        <a:xfrm>
          <a:off x="7854075" y="528637"/>
          <a:ext cx="1347075" cy="120795"/>
        </a:xfrm>
        <a:prstGeom prst="rightArrow">
          <a:avLst/>
        </a:prstGeom>
        <a:solidFill>
          <a:schemeClr val="accent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154046</xdr:colOff>
      <xdr:row>18</xdr:row>
      <xdr:rowOff>156882</xdr:rowOff>
    </xdr:from>
    <xdr:to>
      <xdr:col>20</xdr:col>
      <xdr:colOff>154046</xdr:colOff>
      <xdr:row>20</xdr:row>
      <xdr:rowOff>13607</xdr:rowOff>
    </xdr:to>
    <xdr:cxnSp macro="">
      <xdr:nvCxnSpPr>
        <xdr:cNvPr id="7" name="直線コネクタ 6">
          <a:extLst>
            <a:ext uri="{FF2B5EF4-FFF2-40B4-BE49-F238E27FC236}">
              <a16:creationId xmlns:a16="http://schemas.microsoft.com/office/drawing/2014/main" id="{C1B675F2-D924-488C-B5EA-116E5E4F703D}"/>
            </a:ext>
          </a:extLst>
        </xdr:cNvPr>
        <xdr:cNvCxnSpPr/>
      </xdr:nvCxnSpPr>
      <xdr:spPr>
        <a:xfrm>
          <a:off x="14475164" y="4392706"/>
          <a:ext cx="0" cy="327372"/>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19050</xdr:colOff>
          <xdr:row>4</xdr:row>
          <xdr:rowOff>228600</xdr:rowOff>
        </xdr:from>
        <xdr:to>
          <xdr:col>3</xdr:col>
          <xdr:colOff>85725</xdr:colOff>
          <xdr:row>6</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8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228600</xdr:rowOff>
        </xdr:from>
        <xdr:to>
          <xdr:col>3</xdr:col>
          <xdr:colOff>85725</xdr:colOff>
          <xdr:row>7</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8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144520</xdr:colOff>
      <xdr:row>3</xdr:row>
      <xdr:rowOff>0</xdr:rowOff>
    </xdr:from>
    <xdr:to>
      <xdr:col>1</xdr:col>
      <xdr:colOff>144520</xdr:colOff>
      <xdr:row>20</xdr:row>
      <xdr:rowOff>22412</xdr:rowOff>
    </xdr:to>
    <xdr:cxnSp macro="">
      <xdr:nvCxnSpPr>
        <xdr:cNvPr id="8" name="直線コネクタ 7">
          <a:extLst>
            <a:ext uri="{FF2B5EF4-FFF2-40B4-BE49-F238E27FC236}">
              <a16:creationId xmlns:a16="http://schemas.microsoft.com/office/drawing/2014/main" id="{0FC5AA31-D883-48BB-3D98-4C10981685A6}"/>
            </a:ext>
          </a:extLst>
        </xdr:cNvPr>
        <xdr:cNvCxnSpPr/>
      </xdr:nvCxnSpPr>
      <xdr:spPr>
        <a:xfrm>
          <a:off x="144520" y="705971"/>
          <a:ext cx="0" cy="4022912"/>
        </a:xfrm>
        <a:prstGeom prst="line">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aterpartners.jp/0_format/00_frame.html" TargetMode="External"/><Relationship Id="rId2" Type="http://schemas.openxmlformats.org/officeDocument/2006/relationships/hyperlink" Target="https://aaaaaa/" TargetMode="External"/><Relationship Id="rId1" Type="http://schemas.openxmlformats.org/officeDocument/2006/relationships/hyperlink" Target="https://aaaaa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waterworks.metro.tokyo.lg.jp/faq/qa-14.html" TargetMode="External"/><Relationship Id="rId2" Type="http://schemas.openxmlformats.org/officeDocument/2006/relationships/hyperlink" Target="https://www.kawamoto.co.jp/data/catalog/35_domestic.pdf" TargetMode="External"/><Relationship Id="rId1" Type="http://schemas.openxmlformats.org/officeDocument/2006/relationships/hyperlink" Target="https://www.enecho.meti.go.jp/about/pamphlet/energy2023/02.html" TargetMode="External"/><Relationship Id="rId4" Type="http://schemas.openxmlformats.org/officeDocument/2006/relationships/hyperlink" Target="https://www.mhlw.go.jp/content/11130500/001076282.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aaaa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3.xml"/><Relationship Id="rId4" Type="http://schemas.openxmlformats.org/officeDocument/2006/relationships/ctrlProp" Target="../ctrlProps/ctrlProp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4.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138DD-A6B4-4497-8FC3-21CD13AF0B7E}">
  <sheetPr codeName="Sheet2">
    <tabColor theme="9" tint="0.79998168889431442"/>
    <pageSetUpPr fitToPage="1"/>
  </sheetPr>
  <dimension ref="A1:P32"/>
  <sheetViews>
    <sheetView tabSelected="1" zoomScale="85" zoomScaleNormal="85" workbookViewId="0">
      <selection activeCell="O10" sqref="O10"/>
    </sheetView>
  </sheetViews>
  <sheetFormatPr defaultRowHeight="18.75"/>
  <cols>
    <col min="1" max="1" width="6.25" customWidth="1"/>
    <col min="4" max="4" width="9" customWidth="1"/>
    <col min="5" max="5" width="11.25" bestFit="1" customWidth="1"/>
  </cols>
  <sheetData>
    <row r="1" spans="1:16">
      <c r="A1" s="72" t="s">
        <v>391</v>
      </c>
      <c r="B1" s="55"/>
      <c r="C1" s="55"/>
      <c r="D1" s="55"/>
      <c r="E1" s="55"/>
      <c r="F1" s="55"/>
      <c r="G1" s="55"/>
      <c r="H1" s="55"/>
      <c r="I1" s="55"/>
      <c r="J1" s="55"/>
      <c r="K1" s="55"/>
      <c r="L1" s="55"/>
      <c r="M1" s="55"/>
      <c r="N1" s="55"/>
      <c r="O1" s="55"/>
      <c r="P1" s="55"/>
    </row>
    <row r="2" spans="1:16">
      <c r="A2" s="55"/>
      <c r="B2" s="55"/>
      <c r="C2" s="55"/>
      <c r="D2" s="55"/>
      <c r="E2" s="55"/>
      <c r="F2" s="55"/>
      <c r="G2" s="55"/>
      <c r="H2" s="55"/>
      <c r="I2" s="55"/>
      <c r="J2" s="55"/>
      <c r="K2" s="55"/>
      <c r="L2" s="55"/>
      <c r="M2" s="55"/>
      <c r="N2" s="55"/>
      <c r="O2" s="55"/>
      <c r="P2" s="55"/>
    </row>
    <row r="3" spans="1:16">
      <c r="A3" s="55"/>
      <c r="B3" s="72" t="s">
        <v>392</v>
      </c>
      <c r="C3" s="55"/>
      <c r="D3" s="55"/>
      <c r="E3" s="55"/>
      <c r="F3" s="55"/>
      <c r="G3" s="55"/>
      <c r="H3" s="55"/>
      <c r="I3" s="55"/>
      <c r="J3" s="55"/>
      <c r="K3" s="55"/>
      <c r="L3" s="55"/>
      <c r="M3" s="55"/>
      <c r="N3" s="55"/>
      <c r="O3" s="55"/>
      <c r="P3" s="55"/>
    </row>
    <row r="4" spans="1:16">
      <c r="A4" s="55"/>
      <c r="B4" s="55" t="s">
        <v>530</v>
      </c>
      <c r="C4" s="55"/>
      <c r="D4" s="55"/>
      <c r="E4" s="55"/>
      <c r="F4" s="55"/>
      <c r="G4" s="55"/>
      <c r="H4" s="55"/>
      <c r="I4" s="55"/>
      <c r="J4" s="55"/>
      <c r="K4" s="55"/>
      <c r="L4" s="55"/>
      <c r="M4" s="55"/>
      <c r="N4" s="55"/>
      <c r="O4" s="55"/>
      <c r="P4" s="55"/>
    </row>
    <row r="5" spans="1:16">
      <c r="A5" s="55"/>
      <c r="B5" s="55" t="s">
        <v>531</v>
      </c>
      <c r="C5" s="55"/>
      <c r="D5" s="55"/>
      <c r="E5" s="55"/>
      <c r="F5" s="55"/>
      <c r="G5" s="55"/>
      <c r="H5" s="55"/>
      <c r="I5" s="55"/>
      <c r="J5" s="55"/>
      <c r="K5" s="55"/>
      <c r="L5" s="55"/>
      <c r="M5" s="55"/>
      <c r="N5" s="55"/>
      <c r="O5" s="55"/>
      <c r="P5" s="55"/>
    </row>
    <row r="6" spans="1:16">
      <c r="A6" s="55"/>
      <c r="B6" s="55" t="s">
        <v>473</v>
      </c>
      <c r="C6" s="55"/>
      <c r="D6" s="55"/>
      <c r="E6" s="55"/>
      <c r="F6" s="55"/>
      <c r="G6" s="55"/>
      <c r="H6" s="55"/>
      <c r="I6" s="55"/>
      <c r="J6" s="55"/>
      <c r="K6" s="55"/>
      <c r="L6" s="55"/>
      <c r="M6" s="55"/>
      <c r="N6" s="55"/>
      <c r="O6" s="55"/>
      <c r="P6" s="55"/>
    </row>
    <row r="7" spans="1:16">
      <c r="A7" s="55"/>
      <c r="B7" s="55"/>
      <c r="C7" s="55"/>
      <c r="D7" s="55"/>
      <c r="E7" s="55"/>
      <c r="F7" s="55"/>
      <c r="G7" s="55"/>
      <c r="H7" s="55"/>
      <c r="I7" s="55"/>
      <c r="J7" s="55"/>
      <c r="K7" s="55"/>
      <c r="L7" s="55"/>
      <c r="M7" s="55"/>
      <c r="N7" s="55"/>
      <c r="O7" s="55"/>
      <c r="P7" s="55"/>
    </row>
    <row r="8" spans="1:16">
      <c r="A8" s="55"/>
      <c r="B8" s="72" t="s">
        <v>401</v>
      </c>
      <c r="C8" s="55"/>
      <c r="D8" s="55"/>
      <c r="E8" s="55"/>
      <c r="F8" s="55"/>
      <c r="G8" s="55"/>
      <c r="H8" s="55"/>
      <c r="I8" s="55"/>
      <c r="J8" s="55"/>
      <c r="K8" s="55"/>
      <c r="L8" s="55"/>
      <c r="M8" s="55"/>
      <c r="N8" s="55"/>
      <c r="O8" s="55"/>
      <c r="P8" s="55"/>
    </row>
    <row r="9" spans="1:16">
      <c r="A9" s="55"/>
      <c r="B9" s="55" t="s">
        <v>399</v>
      </c>
      <c r="C9" s="55"/>
      <c r="D9" s="55"/>
      <c r="E9" s="55"/>
      <c r="F9" s="55"/>
      <c r="G9" s="55"/>
      <c r="H9" s="55"/>
      <c r="I9" s="55"/>
      <c r="J9" s="55"/>
      <c r="K9" s="55"/>
      <c r="L9" s="55"/>
      <c r="M9" s="55"/>
      <c r="N9" s="55"/>
      <c r="O9" s="55"/>
      <c r="P9" s="55"/>
    </row>
    <row r="10" spans="1:16">
      <c r="A10" s="55"/>
      <c r="B10" s="55" t="s">
        <v>484</v>
      </c>
      <c r="C10" s="55"/>
      <c r="D10" s="55"/>
      <c r="E10" s="55"/>
      <c r="F10" s="55"/>
      <c r="G10" s="55"/>
      <c r="H10" s="55"/>
      <c r="I10" s="55"/>
      <c r="J10" s="55"/>
      <c r="K10" s="55"/>
      <c r="L10" s="55"/>
      <c r="M10" s="55"/>
      <c r="N10" s="55"/>
      <c r="O10" s="55"/>
      <c r="P10" s="55"/>
    </row>
    <row r="11" spans="1:16">
      <c r="A11" s="55"/>
      <c r="B11" s="55" t="s">
        <v>400</v>
      </c>
      <c r="C11" s="55"/>
      <c r="D11" s="55"/>
      <c r="E11" s="55"/>
      <c r="F11" s="55"/>
      <c r="G11" s="55"/>
      <c r="H11" s="55"/>
      <c r="I11" s="55"/>
      <c r="J11" s="55"/>
      <c r="K11" s="55"/>
      <c r="L11" s="55"/>
      <c r="M11" s="55"/>
      <c r="N11" s="55"/>
      <c r="O11" s="55"/>
      <c r="P11" s="55"/>
    </row>
    <row r="12" spans="1:16">
      <c r="A12" s="55"/>
      <c r="B12" s="55"/>
      <c r="C12" s="55"/>
      <c r="D12" s="55"/>
      <c r="E12" s="55"/>
      <c r="F12" s="55"/>
      <c r="G12" s="55"/>
      <c r="H12" s="55"/>
      <c r="I12" s="55"/>
      <c r="J12" s="55"/>
      <c r="K12" s="55"/>
      <c r="L12" s="55"/>
      <c r="M12" s="55"/>
      <c r="N12" s="55"/>
      <c r="O12" s="55"/>
      <c r="P12" s="55"/>
    </row>
    <row r="13" spans="1:16">
      <c r="A13" s="55"/>
      <c r="B13" s="55"/>
      <c r="C13" s="55"/>
      <c r="D13" s="55"/>
      <c r="E13" s="55"/>
      <c r="F13" s="55"/>
      <c r="G13" s="55"/>
      <c r="H13" s="55"/>
      <c r="I13" s="55"/>
      <c r="J13" s="55"/>
      <c r="K13" s="55"/>
      <c r="L13" s="55"/>
      <c r="M13" s="55"/>
      <c r="N13" s="55"/>
      <c r="O13" s="55"/>
      <c r="P13" s="55"/>
    </row>
    <row r="14" spans="1:16">
      <c r="A14" s="55"/>
      <c r="B14" s="125" t="s">
        <v>393</v>
      </c>
      <c r="C14" s="55"/>
      <c r="D14" s="55"/>
      <c r="E14" s="55"/>
      <c r="F14" s="55"/>
      <c r="G14" s="55"/>
      <c r="H14" s="55"/>
      <c r="I14" s="55"/>
      <c r="J14" s="55"/>
      <c r="K14" s="55"/>
      <c r="L14" s="55"/>
      <c r="M14" s="55"/>
      <c r="N14" s="55"/>
      <c r="O14" s="55"/>
      <c r="P14" s="55"/>
    </row>
    <row r="15" spans="1:16">
      <c r="A15" s="55"/>
      <c r="B15" s="55" t="s">
        <v>532</v>
      </c>
      <c r="C15" s="55"/>
      <c r="D15" s="55"/>
      <c r="E15" s="55"/>
      <c r="F15" s="55"/>
      <c r="G15" s="55"/>
      <c r="H15" s="55"/>
      <c r="I15" s="55"/>
      <c r="J15" s="55"/>
      <c r="K15" s="55"/>
      <c r="L15" s="55"/>
      <c r="M15" s="55"/>
      <c r="N15" s="55"/>
      <c r="O15" s="55"/>
      <c r="P15" s="55"/>
    </row>
    <row r="16" spans="1:16">
      <c r="A16" s="55"/>
      <c r="B16" s="55" t="s">
        <v>398</v>
      </c>
      <c r="C16" s="55"/>
      <c r="D16" s="55"/>
      <c r="E16" s="55"/>
      <c r="F16" s="55"/>
      <c r="G16" s="55"/>
      <c r="H16" s="55"/>
      <c r="I16" s="55"/>
      <c r="J16" s="55"/>
      <c r="K16" s="55"/>
      <c r="L16" s="55"/>
      <c r="M16" s="55"/>
      <c r="N16" s="55"/>
      <c r="O16" s="55"/>
      <c r="P16" s="55"/>
    </row>
    <row r="17" spans="1:16">
      <c r="A17" s="55"/>
      <c r="B17" s="55" t="s">
        <v>481</v>
      </c>
      <c r="C17" s="55"/>
      <c r="D17" s="55"/>
      <c r="E17" s="55"/>
      <c r="F17" s="55"/>
      <c r="G17" s="55"/>
      <c r="H17" s="55"/>
      <c r="I17" s="55"/>
      <c r="J17" s="55"/>
      <c r="K17" s="55"/>
      <c r="L17" s="55"/>
      <c r="M17" s="55"/>
      <c r="N17" s="55"/>
      <c r="O17" s="55"/>
      <c r="P17" s="55"/>
    </row>
    <row r="18" spans="1:16">
      <c r="A18" s="55"/>
      <c r="B18" s="55" t="s">
        <v>482</v>
      </c>
      <c r="C18" s="55"/>
      <c r="D18" s="55"/>
      <c r="E18" s="55"/>
      <c r="F18" s="55"/>
      <c r="G18" s="55"/>
      <c r="H18" s="55"/>
      <c r="I18" s="55"/>
      <c r="J18" s="55"/>
      <c r="K18" s="55"/>
      <c r="L18" s="55"/>
      <c r="M18" s="55"/>
      <c r="N18" s="55"/>
      <c r="O18" s="55"/>
      <c r="P18" s="55"/>
    </row>
    <row r="19" spans="1:16">
      <c r="A19" s="55"/>
      <c r="B19" s="55" t="s">
        <v>474</v>
      </c>
      <c r="C19" s="55"/>
      <c r="D19" s="55"/>
      <c r="E19" s="55"/>
      <c r="F19" s="55"/>
      <c r="G19" s="55"/>
      <c r="H19" s="55"/>
      <c r="I19" s="55"/>
      <c r="J19" s="55"/>
      <c r="K19" s="55"/>
      <c r="L19" s="55"/>
      <c r="M19" s="55"/>
      <c r="N19" s="55"/>
      <c r="O19" s="55"/>
      <c r="P19" s="55"/>
    </row>
    <row r="20" spans="1:16">
      <c r="A20" s="55"/>
      <c r="B20" s="55" t="s">
        <v>475</v>
      </c>
      <c r="C20" s="55"/>
      <c r="D20" s="55"/>
      <c r="E20" s="55"/>
      <c r="F20" s="55"/>
      <c r="G20" s="55"/>
      <c r="H20" s="55"/>
      <c r="I20" s="55"/>
      <c r="J20" s="55"/>
      <c r="K20" s="55"/>
      <c r="L20" s="55"/>
      <c r="M20" s="55"/>
      <c r="N20" s="55"/>
      <c r="O20" s="55"/>
      <c r="P20" s="55"/>
    </row>
    <row r="21" spans="1:16">
      <c r="A21" s="55"/>
      <c r="B21" s="55" t="s">
        <v>476</v>
      </c>
      <c r="C21" s="55"/>
      <c r="D21" s="55"/>
      <c r="E21" s="55"/>
      <c r="F21" s="55"/>
      <c r="G21" s="55"/>
      <c r="H21" s="55"/>
      <c r="I21" s="55"/>
      <c r="J21" s="55"/>
      <c r="K21" s="55"/>
      <c r="L21" s="55"/>
      <c r="M21" s="55"/>
      <c r="N21" s="55"/>
      <c r="O21" s="55"/>
      <c r="P21" s="55"/>
    </row>
    <row r="22" spans="1:16">
      <c r="A22" s="55"/>
      <c r="B22" s="55"/>
      <c r="C22" s="55"/>
      <c r="D22" s="55"/>
      <c r="E22" s="55"/>
      <c r="F22" s="55"/>
      <c r="G22" s="55"/>
      <c r="H22" s="55"/>
      <c r="I22" s="55"/>
      <c r="J22" s="55"/>
      <c r="K22" s="55"/>
      <c r="L22" s="55"/>
      <c r="M22" s="55"/>
      <c r="N22" s="55"/>
      <c r="O22" s="55"/>
      <c r="P22" s="55"/>
    </row>
    <row r="23" spans="1:16">
      <c r="A23" s="55"/>
      <c r="B23" s="55"/>
      <c r="C23" s="55"/>
      <c r="D23" s="55"/>
      <c r="E23" s="55"/>
      <c r="F23" s="55"/>
      <c r="G23" s="55"/>
      <c r="H23" s="55"/>
      <c r="I23" s="55"/>
      <c r="J23" s="55"/>
      <c r="K23" s="55"/>
      <c r="L23" s="55"/>
      <c r="M23" s="55"/>
      <c r="N23" s="55"/>
      <c r="O23" s="55"/>
      <c r="P23" s="55"/>
    </row>
    <row r="24" spans="1:16">
      <c r="A24" s="55"/>
      <c r="B24" s="125" t="s">
        <v>394</v>
      </c>
      <c r="C24" s="55"/>
      <c r="D24" s="55"/>
      <c r="E24" s="55"/>
      <c r="F24" s="55"/>
      <c r="G24" s="55"/>
      <c r="H24" s="55"/>
      <c r="I24" s="55"/>
      <c r="J24" s="55"/>
      <c r="K24" s="55"/>
      <c r="L24" s="55"/>
      <c r="M24" s="55"/>
      <c r="N24" s="55"/>
      <c r="O24" s="55"/>
      <c r="P24" s="55"/>
    </row>
    <row r="25" spans="1:16">
      <c r="A25" s="55"/>
      <c r="B25" s="55" t="s">
        <v>480</v>
      </c>
      <c r="C25" s="55"/>
      <c r="D25" s="55"/>
      <c r="E25" s="55"/>
      <c r="F25" s="55"/>
      <c r="G25" s="55"/>
      <c r="H25" s="55"/>
      <c r="I25" s="55"/>
      <c r="J25" s="55"/>
      <c r="K25" s="55"/>
      <c r="L25" s="55"/>
      <c r="M25" s="55"/>
      <c r="N25" s="55"/>
      <c r="O25" s="55"/>
      <c r="P25" s="55"/>
    </row>
    <row r="26" spans="1:16">
      <c r="A26" s="55"/>
      <c r="B26" s="126" t="s">
        <v>395</v>
      </c>
      <c r="C26" s="55"/>
      <c r="D26" s="55"/>
      <c r="E26" s="55"/>
      <c r="F26" s="55"/>
      <c r="G26" s="55"/>
      <c r="H26" s="55"/>
      <c r="I26" s="55"/>
      <c r="J26" s="55"/>
      <c r="K26" s="55"/>
      <c r="L26" s="55"/>
      <c r="M26" s="55"/>
      <c r="N26" s="55"/>
      <c r="O26" s="55"/>
      <c r="P26" s="55"/>
    </row>
    <row r="27" spans="1:16">
      <c r="A27" s="55"/>
      <c r="B27" s="55" t="s">
        <v>479</v>
      </c>
      <c r="C27" s="55"/>
      <c r="D27" s="55"/>
      <c r="E27" s="55"/>
      <c r="F27" s="55"/>
      <c r="G27" s="55"/>
      <c r="H27" s="55"/>
      <c r="I27" s="55"/>
      <c r="J27" s="55"/>
      <c r="K27" s="55"/>
      <c r="L27" s="55"/>
      <c r="M27" s="55"/>
      <c r="N27" s="55"/>
      <c r="O27" s="55"/>
      <c r="P27" s="55"/>
    </row>
    <row r="28" spans="1:16">
      <c r="A28" s="55"/>
      <c r="B28" s="126" t="s">
        <v>395</v>
      </c>
      <c r="C28" s="55"/>
      <c r="D28" s="55"/>
      <c r="E28" s="55"/>
      <c r="F28" s="55"/>
      <c r="G28" s="55"/>
      <c r="H28" s="55"/>
      <c r="I28" s="55"/>
      <c r="J28" s="55"/>
      <c r="K28" s="55"/>
      <c r="L28" s="55"/>
      <c r="M28" s="55"/>
      <c r="N28" s="55"/>
      <c r="O28" s="55"/>
      <c r="P28" s="55"/>
    </row>
    <row r="29" spans="1:16">
      <c r="A29" s="55"/>
      <c r="B29" s="55" t="s">
        <v>478</v>
      </c>
      <c r="C29" s="55"/>
      <c r="D29" s="55"/>
      <c r="E29" s="55"/>
      <c r="F29" s="55"/>
      <c r="G29" s="55"/>
      <c r="H29" s="55"/>
      <c r="I29" s="55"/>
      <c r="J29" s="55"/>
      <c r="K29" s="55"/>
      <c r="L29" s="55"/>
      <c r="M29" s="55"/>
      <c r="N29" s="55"/>
      <c r="O29" s="55"/>
      <c r="P29" s="55"/>
    </row>
    <row r="30" spans="1:16">
      <c r="A30" s="55"/>
      <c r="B30" s="126" t="s">
        <v>477</v>
      </c>
      <c r="C30" s="55"/>
      <c r="D30" s="55"/>
      <c r="E30" s="55"/>
      <c r="F30" s="55"/>
      <c r="G30" s="55"/>
      <c r="H30" s="55"/>
      <c r="I30" s="55"/>
      <c r="J30" s="55"/>
      <c r="K30" s="55"/>
      <c r="L30" s="55"/>
      <c r="M30" s="55"/>
      <c r="N30" s="55"/>
      <c r="O30" s="55"/>
      <c r="P30" s="55"/>
    </row>
    <row r="31" spans="1:16">
      <c r="A31" s="55"/>
      <c r="B31" s="55"/>
      <c r="C31" s="55"/>
      <c r="D31" s="55"/>
      <c r="E31" s="55"/>
      <c r="F31" s="55"/>
      <c r="G31" s="55"/>
      <c r="H31" s="55"/>
      <c r="I31" s="55"/>
      <c r="J31" s="55"/>
      <c r="K31" s="55"/>
      <c r="L31" s="55"/>
      <c r="M31" s="55"/>
      <c r="N31" s="55"/>
      <c r="O31" s="55"/>
      <c r="P31" s="55"/>
    </row>
    <row r="32" spans="1:16">
      <c r="A32" s="55"/>
      <c r="B32" s="55"/>
      <c r="C32" s="55"/>
      <c r="D32" s="55"/>
      <c r="E32" s="55"/>
      <c r="F32" s="55"/>
      <c r="G32" s="55"/>
      <c r="H32" s="55"/>
      <c r="I32" s="55"/>
      <c r="J32" s="55"/>
      <c r="K32" s="55"/>
      <c r="L32" s="55"/>
      <c r="M32" s="55"/>
      <c r="N32" s="55"/>
      <c r="O32" s="55"/>
      <c r="P32" s="55"/>
    </row>
  </sheetData>
  <phoneticPr fontId="1"/>
  <hyperlinks>
    <hyperlink ref="B28" r:id="rId1" xr:uid="{E65A059C-4F73-4803-8E36-C83EDE28B075}"/>
    <hyperlink ref="B26" r:id="rId2" xr:uid="{59C47BAD-0DA7-4A84-B9CE-9B3A3D5DAAEB}"/>
    <hyperlink ref="B30" r:id="rId3" xr:uid="{0322052F-D1CA-4703-B14C-D47E88581AD4}"/>
  </hyperlinks>
  <pageMargins left="0.70866141732283472" right="0.70866141732283472" top="0.74803149606299213" bottom="0.74803149606299213" header="0.31496062992125984" footer="0.31496062992125984"/>
  <pageSetup paperSize="9" scale="82" orientation="landscape" r:id="rId4"/>
  <headerFooter>
    <oddHeader>&amp;A</oddHeader>
    <oddFooter>&amp;F</oddFooter>
  </headerFooter>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B72D-1039-40B1-A663-FD8C7384A119}">
  <sheetPr codeName="Sheet14"/>
  <dimension ref="A1"/>
  <sheetViews>
    <sheetView topLeftCell="A40" workbookViewId="0">
      <selection activeCell="G53" sqref="G53"/>
    </sheetView>
  </sheetViews>
  <sheetFormatPr defaultRowHeight="18.75"/>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EED43-EA1A-46E2-902D-02061E8AA3F2}">
  <sheetPr codeName="Sheet6"/>
  <dimension ref="A1:F42"/>
  <sheetViews>
    <sheetView workbookViewId="0">
      <selection activeCell="E86" sqref="E86"/>
    </sheetView>
  </sheetViews>
  <sheetFormatPr defaultRowHeight="18.75"/>
  <cols>
    <col min="1" max="1" width="24.125" bestFit="1" customWidth="1"/>
    <col min="2" max="2" width="52.625" bestFit="1" customWidth="1"/>
    <col min="3" max="3" width="7.125" bestFit="1" customWidth="1"/>
  </cols>
  <sheetData>
    <row r="1" spans="1:4" ht="25.5">
      <c r="A1" s="31" t="s">
        <v>152</v>
      </c>
      <c r="B1" t="s">
        <v>1</v>
      </c>
      <c r="C1" t="s">
        <v>123</v>
      </c>
    </row>
    <row r="2" spans="1:4">
      <c r="A2" t="s">
        <v>40</v>
      </c>
      <c r="B2" t="s">
        <v>41</v>
      </c>
    </row>
    <row r="3" spans="1:4">
      <c r="B3" t="s">
        <v>13</v>
      </c>
    </row>
    <row r="4" spans="1:4">
      <c r="B4" t="s">
        <v>42</v>
      </c>
    </row>
    <row r="5" spans="1:4">
      <c r="B5" t="s">
        <v>43</v>
      </c>
    </row>
    <row r="6" spans="1:4">
      <c r="B6" t="s">
        <v>44</v>
      </c>
    </row>
    <row r="8" spans="1:4">
      <c r="A8" t="s">
        <v>45</v>
      </c>
      <c r="B8" t="s">
        <v>278</v>
      </c>
    </row>
    <row r="9" spans="1:4">
      <c r="B9" t="s">
        <v>277</v>
      </c>
    </row>
    <row r="11" spans="1:4">
      <c r="A11" t="s">
        <v>47</v>
      </c>
      <c r="B11" t="s">
        <v>48</v>
      </c>
      <c r="C11" t="s">
        <v>49</v>
      </c>
      <c r="D11">
        <v>1</v>
      </c>
    </row>
    <row r="12" spans="1:4">
      <c r="B12" t="s">
        <v>56</v>
      </c>
      <c r="C12" t="s">
        <v>58</v>
      </c>
      <c r="D12">
        <v>2</v>
      </c>
    </row>
    <row r="13" spans="1:4">
      <c r="B13" t="s">
        <v>50</v>
      </c>
      <c r="C13" t="s">
        <v>59</v>
      </c>
      <c r="D13">
        <v>3</v>
      </c>
    </row>
    <row r="14" spans="1:4">
      <c r="B14" t="s">
        <v>293</v>
      </c>
      <c r="C14" t="s">
        <v>60</v>
      </c>
      <c r="D14">
        <v>4</v>
      </c>
    </row>
    <row r="15" spans="1:4">
      <c r="B15" t="s">
        <v>294</v>
      </c>
      <c r="C15" t="s">
        <v>61</v>
      </c>
      <c r="D15">
        <v>5</v>
      </c>
    </row>
    <row r="16" spans="1:4">
      <c r="B16" t="s">
        <v>57</v>
      </c>
      <c r="C16" t="s">
        <v>62</v>
      </c>
      <c r="D16">
        <v>6</v>
      </c>
    </row>
    <row r="17" spans="1:6">
      <c r="B17" t="s">
        <v>46</v>
      </c>
      <c r="C17" t="s">
        <v>39</v>
      </c>
      <c r="D17">
        <v>7</v>
      </c>
    </row>
    <row r="19" spans="1:6">
      <c r="A19" t="s">
        <v>51</v>
      </c>
      <c r="B19" t="s">
        <v>53</v>
      </c>
      <c r="C19" t="s">
        <v>63</v>
      </c>
      <c r="D19">
        <v>1</v>
      </c>
    </row>
    <row r="20" spans="1:6">
      <c r="B20" t="s">
        <v>54</v>
      </c>
      <c r="C20" t="s">
        <v>64</v>
      </c>
      <c r="D20">
        <v>2</v>
      </c>
    </row>
    <row r="21" spans="1:6">
      <c r="B21" t="s">
        <v>55</v>
      </c>
      <c r="C21" t="s">
        <v>38</v>
      </c>
      <c r="D21">
        <v>3</v>
      </c>
    </row>
    <row r="22" spans="1:6">
      <c r="B22" t="s">
        <v>52</v>
      </c>
      <c r="C22" t="s">
        <v>65</v>
      </c>
      <c r="D22">
        <v>4</v>
      </c>
    </row>
    <row r="23" spans="1:6">
      <c r="B23" t="s">
        <v>72</v>
      </c>
      <c r="C23" t="s">
        <v>73</v>
      </c>
      <c r="D23">
        <v>5</v>
      </c>
    </row>
    <row r="24" spans="1:6">
      <c r="B24" t="s">
        <v>300</v>
      </c>
      <c r="C24" t="s">
        <v>301</v>
      </c>
      <c r="D24">
        <v>6</v>
      </c>
    </row>
    <row r="26" spans="1:6">
      <c r="A26" t="s">
        <v>74</v>
      </c>
      <c r="B26" t="s">
        <v>581</v>
      </c>
      <c r="D26">
        <v>1</v>
      </c>
      <c r="F26" t="s">
        <v>581</v>
      </c>
    </row>
    <row r="27" spans="1:6">
      <c r="B27" t="s">
        <v>631</v>
      </c>
      <c r="D27">
        <v>2</v>
      </c>
      <c r="F27" t="s">
        <v>596</v>
      </c>
    </row>
    <row r="28" spans="1:6">
      <c r="B28" t="s">
        <v>632</v>
      </c>
      <c r="D28">
        <v>3</v>
      </c>
      <c r="F28" t="s">
        <v>597</v>
      </c>
    </row>
    <row r="29" spans="1:6">
      <c r="B29" t="s">
        <v>582</v>
      </c>
      <c r="D29">
        <v>4</v>
      </c>
      <c r="F29" t="s">
        <v>582</v>
      </c>
    </row>
    <row r="30" spans="1:6">
      <c r="D30">
        <v>5</v>
      </c>
    </row>
    <row r="31" spans="1:6">
      <c r="D31">
        <v>6</v>
      </c>
    </row>
    <row r="32" spans="1:6">
      <c r="D32">
        <v>7</v>
      </c>
    </row>
    <row r="33" spans="1:4">
      <c r="D33">
        <v>8</v>
      </c>
    </row>
    <row r="36" spans="1:4">
      <c r="A36" t="s">
        <v>190</v>
      </c>
      <c r="B36" t="s">
        <v>191</v>
      </c>
    </row>
    <row r="37" spans="1:4">
      <c r="B37" t="s">
        <v>192</v>
      </c>
    </row>
    <row r="40" spans="1:4">
      <c r="A40" t="s">
        <v>175</v>
      </c>
    </row>
    <row r="41" spans="1:4">
      <c r="B41" t="s">
        <v>598</v>
      </c>
    </row>
    <row r="42" spans="1:4">
      <c r="B42" t="s">
        <v>580</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F8BAB-BE38-4C8B-8A9C-B26468BF20F2}">
  <sheetPr codeName="Sheet7"/>
  <dimension ref="A1:M109"/>
  <sheetViews>
    <sheetView topLeftCell="A4" zoomScale="70" zoomScaleNormal="70" workbookViewId="0">
      <selection activeCell="E86" sqref="E86"/>
    </sheetView>
  </sheetViews>
  <sheetFormatPr defaultRowHeight="18.75"/>
  <cols>
    <col min="2" max="2" width="33" bestFit="1" customWidth="1"/>
    <col min="5" max="5" width="11.75" bestFit="1" customWidth="1"/>
    <col min="6" max="6" width="12.5" customWidth="1"/>
    <col min="7" max="7" width="35.875" bestFit="1" customWidth="1"/>
  </cols>
  <sheetData>
    <row r="1" spans="1:5" ht="33">
      <c r="A1" s="16" t="s">
        <v>155</v>
      </c>
    </row>
    <row r="2" spans="1:5">
      <c r="A2" t="s">
        <v>177</v>
      </c>
    </row>
    <row r="3" spans="1:5" ht="33">
      <c r="A3" s="16" t="s">
        <v>153</v>
      </c>
    </row>
    <row r="4" spans="1:5">
      <c r="B4" t="s">
        <v>1</v>
      </c>
      <c r="D4" t="s">
        <v>125</v>
      </c>
      <c r="E4" t="s">
        <v>124</v>
      </c>
    </row>
    <row r="5" spans="1:5">
      <c r="A5" t="s">
        <v>83</v>
      </c>
      <c r="B5" s="12"/>
      <c r="E5" t="s">
        <v>84</v>
      </c>
    </row>
    <row r="6" spans="1:5">
      <c r="B6" s="11" t="s">
        <v>95</v>
      </c>
      <c r="E6" s="9"/>
    </row>
    <row r="7" spans="1:5">
      <c r="B7" s="11" t="s">
        <v>560</v>
      </c>
      <c r="D7">
        <v>1</v>
      </c>
      <c r="E7" s="10">
        <f>SUMIF(IC!$H$46:$H$82,$D7,IC!$E$46:$E$82)</f>
        <v>10000</v>
      </c>
    </row>
    <row r="8" spans="1:5">
      <c r="B8" s="11" t="s">
        <v>561</v>
      </c>
      <c r="D8">
        <v>2</v>
      </c>
      <c r="E8" s="10">
        <f>SUMIF(IC!$H$46:$H$82,$D8,IC!$E$46:$E$82)</f>
        <v>12000</v>
      </c>
    </row>
    <row r="9" spans="1:5">
      <c r="B9" s="11" t="s">
        <v>562</v>
      </c>
      <c r="D9">
        <v>3</v>
      </c>
      <c r="E9" s="10">
        <f>SUMIF(IC!$H$46:$H$82,$D9,IC!$E$46:$E$82)</f>
        <v>14000</v>
      </c>
    </row>
    <row r="10" spans="1:5">
      <c r="B10" s="11" t="s">
        <v>563</v>
      </c>
      <c r="D10">
        <v>4</v>
      </c>
      <c r="E10" s="10">
        <f>SUMIF(IC!$H$46:$H$82,$D10,IC!$E$46:$E$82)</f>
        <v>18000</v>
      </c>
    </row>
    <row r="11" spans="1:5">
      <c r="B11" s="11" t="s">
        <v>564</v>
      </c>
      <c r="D11">
        <v>5</v>
      </c>
      <c r="E11" s="10">
        <f>SUMIF(IC!$H$46:$H$82,$D11,IC!$E$46:$E$82)</f>
        <v>12000</v>
      </c>
    </row>
    <row r="12" spans="1:5">
      <c r="B12" s="11" t="s">
        <v>565</v>
      </c>
      <c r="D12">
        <v>6</v>
      </c>
      <c r="E12" s="10">
        <f>SUMIF(IC!$H$46:$H$82,$D12,IC!$E$46:$E$82)</f>
        <v>14000</v>
      </c>
    </row>
    <row r="13" spans="1:5">
      <c r="B13" s="11" t="s">
        <v>566</v>
      </c>
      <c r="D13">
        <v>7</v>
      </c>
      <c r="E13" s="10">
        <f>SUMIF(IC!$H$46:$H$82,$D13,IC!$E$46:$E$82)</f>
        <v>16000</v>
      </c>
    </row>
    <row r="14" spans="1:5">
      <c r="B14" s="11"/>
      <c r="E14" s="10">
        <f>SUMIF(IC!$H$46:$H$82,$D14,IC!$E$46:$E$82)</f>
        <v>0</v>
      </c>
    </row>
    <row r="16" spans="1:5">
      <c r="A16" t="s">
        <v>98</v>
      </c>
      <c r="B16" s="12"/>
      <c r="E16" s="10"/>
    </row>
    <row r="17" spans="1:5">
      <c r="B17" s="12" t="s">
        <v>95</v>
      </c>
      <c r="E17" s="10"/>
    </row>
    <row r="18" spans="1:5">
      <c r="B18" s="12" t="s">
        <v>99</v>
      </c>
      <c r="D18">
        <v>1</v>
      </c>
      <c r="E18" s="10">
        <f>SUMIF(IC!$H$85:$H$96,"〇",IC!$E$85:$E$96)</f>
        <v>2150000</v>
      </c>
    </row>
    <row r="19" spans="1:5">
      <c r="B19" s="12" t="s">
        <v>100</v>
      </c>
      <c r="D19">
        <v>2</v>
      </c>
      <c r="E19" s="10">
        <f>SUMIF(IC!$I$85:$I$96,"〇",IC!$E$85:$E$96)</f>
        <v>2650000</v>
      </c>
    </row>
    <row r="20" spans="1:5">
      <c r="B20" s="12" t="s">
        <v>638</v>
      </c>
      <c r="D20">
        <v>3</v>
      </c>
      <c r="E20" s="10">
        <f>SUMIF(IC!$J$85:$J$96,"〇",IC!$E$85:$E$96)</f>
        <v>2500000</v>
      </c>
    </row>
    <row r="21" spans="1:5">
      <c r="B21" s="12" t="s">
        <v>640</v>
      </c>
      <c r="D21">
        <v>4</v>
      </c>
      <c r="E21" s="10">
        <f>SUMIF(IC!$K$85:$K$96,"〇",IC!$E$85:$E$96)</f>
        <v>6250000</v>
      </c>
    </row>
    <row r="22" spans="1:5">
      <c r="B22" s="12" t="s">
        <v>639</v>
      </c>
      <c r="D22">
        <v>5</v>
      </c>
      <c r="E22" s="10">
        <f>SUMIF(IC!$L$85:$L$96,"〇",IC!$E$85:$E$96)</f>
        <v>14600000</v>
      </c>
    </row>
    <row r="23" spans="1:5">
      <c r="B23" s="12" t="s">
        <v>103</v>
      </c>
      <c r="D23">
        <v>6</v>
      </c>
      <c r="E23" s="10">
        <f>SUMIF(IC!$M$85:$M$96,"〇",IC!$E$85:$E$96)</f>
        <v>1500000</v>
      </c>
    </row>
    <row r="25" spans="1:5">
      <c r="A25" t="s">
        <v>107</v>
      </c>
      <c r="B25" s="12"/>
      <c r="E25" s="10"/>
    </row>
    <row r="26" spans="1:5">
      <c r="B26" s="12" t="s">
        <v>113</v>
      </c>
      <c r="E26" s="10">
        <f ca="1">SUMIF(IC!$H$100:$L$107,'RC'!$A87,IC!$E$100:$E$107)</f>
        <v>0</v>
      </c>
    </row>
    <row r="27" spans="1:5">
      <c r="B27" s="12" t="s">
        <v>108</v>
      </c>
      <c r="D27">
        <v>1</v>
      </c>
      <c r="E27" s="10">
        <f>SUMIF(IC!$H$100:$H$109,"〇",IC!$E$100:$E$109)</f>
        <v>1630000</v>
      </c>
    </row>
    <row r="28" spans="1:5">
      <c r="B28" s="12" t="s">
        <v>117</v>
      </c>
      <c r="D28">
        <v>2</v>
      </c>
      <c r="E28" s="10">
        <f>SUMIF(IC!$I$100:$I$109,"〇",IC!$E$100:$E$109)</f>
        <v>2030000</v>
      </c>
    </row>
    <row r="29" spans="1:5">
      <c r="B29" s="12" t="s">
        <v>118</v>
      </c>
      <c r="D29">
        <v>3</v>
      </c>
      <c r="E29" s="10">
        <f>SUMIF(IC!$J$100:$J$109,"〇",IC!$E$100:$E$109)</f>
        <v>4320000</v>
      </c>
    </row>
    <row r="30" spans="1:5">
      <c r="B30" s="12" t="s">
        <v>116</v>
      </c>
      <c r="D30">
        <v>4</v>
      </c>
      <c r="E30" s="10">
        <f>SUMIF(IC!$K$100:$K$109,"〇",IC!$E$100:$E$109)</f>
        <v>8100000</v>
      </c>
    </row>
    <row r="31" spans="1:5">
      <c r="B31" s="12" t="s">
        <v>52</v>
      </c>
      <c r="D31">
        <v>5</v>
      </c>
      <c r="E31" s="10">
        <f>SUMIF(IC!$L$100:$L$109,"〇",IC!$E$100:$E$109)</f>
        <v>400000</v>
      </c>
    </row>
    <row r="34" spans="1:13">
      <c r="A34" t="s">
        <v>76</v>
      </c>
      <c r="B34" s="12"/>
      <c r="E34" t="s">
        <v>87</v>
      </c>
    </row>
    <row r="35" spans="1:13">
      <c r="B35" s="12" t="s">
        <v>95</v>
      </c>
      <c r="E35" s="9">
        <v>0</v>
      </c>
    </row>
    <row r="36" spans="1:13">
      <c r="B36" s="13" t="s">
        <v>88</v>
      </c>
      <c r="E36" s="9">
        <v>1600000</v>
      </c>
    </row>
    <row r="37" spans="1:13">
      <c r="B37" s="13" t="s">
        <v>89</v>
      </c>
      <c r="E37" s="9">
        <v>2200000</v>
      </c>
    </row>
    <row r="38" spans="1:13">
      <c r="E38" s="9"/>
    </row>
    <row r="39" spans="1:13">
      <c r="A39" t="s">
        <v>90</v>
      </c>
      <c r="B39" s="12"/>
    </row>
    <row r="40" spans="1:13">
      <c r="B40" s="12" t="s">
        <v>95</v>
      </c>
      <c r="E40">
        <v>0</v>
      </c>
    </row>
    <row r="41" spans="1:13">
      <c r="B41" s="11" t="s">
        <v>91</v>
      </c>
      <c r="E41" s="10">
        <v>4200000</v>
      </c>
    </row>
    <row r="42" spans="1:13">
      <c r="B42" s="11" t="s">
        <v>92</v>
      </c>
      <c r="E42" s="10">
        <v>5500000</v>
      </c>
    </row>
    <row r="44" spans="1:13" ht="33">
      <c r="A44" s="16" t="s">
        <v>101</v>
      </c>
      <c r="H44" s="7" t="s">
        <v>179</v>
      </c>
      <c r="M44" s="5"/>
    </row>
    <row r="45" spans="1:13" ht="19.5">
      <c r="A45" s="29" t="s">
        <v>83</v>
      </c>
      <c r="B45" s="17"/>
      <c r="C45" s="17"/>
      <c r="D45" s="17"/>
      <c r="E45" s="17"/>
      <c r="F45" s="17"/>
      <c r="G45" s="17"/>
      <c r="H45" s="18"/>
      <c r="I45" s="18"/>
      <c r="J45" s="18"/>
      <c r="K45" s="18"/>
      <c r="L45" s="18"/>
      <c r="M45" s="27"/>
    </row>
    <row r="46" spans="1:13" ht="19.5">
      <c r="A46" s="23"/>
      <c r="B46" t="s">
        <v>135</v>
      </c>
      <c r="E46" s="3">
        <v>5000</v>
      </c>
      <c r="F46" t="s">
        <v>85</v>
      </c>
      <c r="G46" t="s">
        <v>131</v>
      </c>
      <c r="H46" s="4"/>
      <c r="I46" s="4"/>
      <c r="J46" s="4"/>
      <c r="K46" s="4"/>
      <c r="L46" s="4"/>
      <c r="M46" s="24"/>
    </row>
    <row r="47" spans="1:13" ht="19.5">
      <c r="A47" s="23"/>
      <c r="B47" t="s">
        <v>136</v>
      </c>
      <c r="E47" s="3">
        <v>15000</v>
      </c>
      <c r="F47" t="s">
        <v>85</v>
      </c>
      <c r="G47" t="s">
        <v>132</v>
      </c>
      <c r="H47" s="4"/>
      <c r="I47" s="4"/>
      <c r="J47" s="4"/>
      <c r="K47" s="4"/>
      <c r="L47" s="4"/>
      <c r="M47" s="24"/>
    </row>
    <row r="48" spans="1:13" ht="19.5">
      <c r="A48" s="23"/>
      <c r="B48" t="s">
        <v>136</v>
      </c>
      <c r="E48" s="3">
        <v>17000</v>
      </c>
      <c r="F48" t="s">
        <v>85</v>
      </c>
      <c r="G48" t="s">
        <v>133</v>
      </c>
      <c r="H48" s="4"/>
      <c r="I48" s="4"/>
      <c r="J48" s="4"/>
      <c r="K48" s="4"/>
      <c r="L48" s="4"/>
      <c r="M48" s="24"/>
    </row>
    <row r="49" spans="1:13" ht="19.5">
      <c r="A49" s="23"/>
      <c r="B49" t="s">
        <v>136</v>
      </c>
      <c r="E49" s="3">
        <v>18000</v>
      </c>
      <c r="F49" t="s">
        <v>85</v>
      </c>
      <c r="G49" t="s">
        <v>130</v>
      </c>
      <c r="H49" s="4"/>
      <c r="I49" s="4"/>
      <c r="J49" s="4"/>
      <c r="K49" s="4"/>
      <c r="L49" s="4"/>
      <c r="M49" s="24"/>
    </row>
    <row r="50" spans="1:13" ht="19.5">
      <c r="A50" s="23"/>
      <c r="B50" t="s">
        <v>136</v>
      </c>
      <c r="E50" s="3">
        <v>20000</v>
      </c>
      <c r="F50" t="s">
        <v>85</v>
      </c>
      <c r="G50" t="s">
        <v>134</v>
      </c>
      <c r="H50" s="4"/>
      <c r="I50" s="4"/>
      <c r="J50" s="4"/>
      <c r="K50" s="4"/>
      <c r="L50" s="4"/>
      <c r="M50" s="24"/>
    </row>
    <row r="51" spans="1:13" ht="19.5">
      <c r="A51" s="23"/>
      <c r="B51" s="6" t="s">
        <v>137</v>
      </c>
      <c r="E51" s="3">
        <f>AVERAGE(E47:E50)</f>
        <v>17500</v>
      </c>
      <c r="H51" s="4"/>
      <c r="I51" s="4"/>
      <c r="J51" s="4"/>
      <c r="K51" s="4"/>
      <c r="L51" s="4"/>
      <c r="M51" s="24"/>
    </row>
    <row r="52" spans="1:13" ht="19.5">
      <c r="A52" s="23"/>
      <c r="B52" t="s">
        <v>200</v>
      </c>
      <c r="E52" s="3">
        <v>8000</v>
      </c>
      <c r="F52" t="s">
        <v>209</v>
      </c>
      <c r="H52" s="4"/>
      <c r="I52" s="4"/>
      <c r="J52" s="4"/>
      <c r="K52" s="4"/>
      <c r="L52" s="4"/>
      <c r="M52" s="24"/>
    </row>
    <row r="53" spans="1:13" ht="19.5">
      <c r="A53" s="23"/>
      <c r="B53" t="s">
        <v>201</v>
      </c>
      <c r="E53" s="3">
        <v>10000</v>
      </c>
      <c r="F53" t="s">
        <v>209</v>
      </c>
      <c r="H53" s="4"/>
      <c r="I53" s="4"/>
      <c r="J53" s="4"/>
      <c r="K53" s="4"/>
      <c r="L53" s="4"/>
      <c r="M53" s="24"/>
    </row>
    <row r="54" spans="1:13" ht="19.5">
      <c r="A54" s="23"/>
      <c r="B54" t="s">
        <v>202</v>
      </c>
      <c r="E54" s="3">
        <v>10000</v>
      </c>
      <c r="F54" t="s">
        <v>209</v>
      </c>
      <c r="H54" s="4"/>
      <c r="I54" s="4"/>
      <c r="J54" s="4"/>
      <c r="K54" s="4"/>
      <c r="L54" s="4"/>
      <c r="M54" s="24"/>
    </row>
    <row r="55" spans="1:13" ht="19.5">
      <c r="A55" s="23"/>
      <c r="B55" t="s">
        <v>203</v>
      </c>
      <c r="E55" s="3">
        <v>10000</v>
      </c>
      <c r="F55" t="s">
        <v>209</v>
      </c>
      <c r="H55" s="4"/>
      <c r="I55" s="4"/>
      <c r="J55" s="4"/>
      <c r="K55" s="4"/>
      <c r="L55" s="4"/>
      <c r="M55" s="24"/>
    </row>
    <row r="56" spans="1:13" ht="19.5">
      <c r="A56" s="23"/>
      <c r="B56" t="s">
        <v>204</v>
      </c>
      <c r="E56" s="3">
        <v>10000</v>
      </c>
      <c r="F56" t="s">
        <v>209</v>
      </c>
      <c r="H56" s="4"/>
      <c r="I56" s="4"/>
      <c r="J56" s="4"/>
      <c r="K56" s="4"/>
      <c r="L56" s="4"/>
      <c r="M56" s="24"/>
    </row>
    <row r="57" spans="1:13" ht="19.5">
      <c r="A57" s="23"/>
      <c r="B57" t="s">
        <v>205</v>
      </c>
      <c r="E57" s="3">
        <v>10000</v>
      </c>
      <c r="F57" t="s">
        <v>209</v>
      </c>
      <c r="H57" s="4">
        <v>1</v>
      </c>
      <c r="I57" s="4"/>
      <c r="J57" s="4"/>
      <c r="K57" s="4"/>
      <c r="L57" s="4"/>
      <c r="M57" s="24"/>
    </row>
    <row r="58" spans="1:13" ht="19.5">
      <c r="A58" s="23"/>
      <c r="B58" t="s">
        <v>206</v>
      </c>
      <c r="E58" s="3">
        <v>12000</v>
      </c>
      <c r="F58" t="s">
        <v>209</v>
      </c>
      <c r="H58" s="4">
        <v>2</v>
      </c>
      <c r="I58" s="4"/>
      <c r="J58" s="4"/>
      <c r="K58" s="4"/>
      <c r="L58" s="4"/>
      <c r="M58" s="24"/>
    </row>
    <row r="59" spans="1:13" ht="19.5">
      <c r="A59" s="23"/>
      <c r="B59" t="s">
        <v>207</v>
      </c>
      <c r="E59" s="3">
        <v>14000</v>
      </c>
      <c r="F59" t="s">
        <v>209</v>
      </c>
      <c r="H59" s="4">
        <v>3</v>
      </c>
      <c r="I59" s="4"/>
      <c r="J59" s="4"/>
      <c r="K59" s="4"/>
      <c r="L59" s="4"/>
      <c r="M59" s="24"/>
    </row>
    <row r="60" spans="1:13" ht="19.5">
      <c r="A60" s="23"/>
      <c r="B60" t="s">
        <v>208</v>
      </c>
      <c r="E60" s="3">
        <v>18000</v>
      </c>
      <c r="F60" t="s">
        <v>209</v>
      </c>
      <c r="H60" s="4">
        <v>4</v>
      </c>
      <c r="I60" s="4"/>
      <c r="J60" s="4"/>
      <c r="K60" s="4"/>
      <c r="L60" s="4"/>
      <c r="M60" s="24"/>
    </row>
    <row r="61" spans="1:13" ht="19.5">
      <c r="A61" s="23"/>
      <c r="B61" t="s">
        <v>210</v>
      </c>
      <c r="E61" s="3">
        <v>10000</v>
      </c>
      <c r="F61" t="s">
        <v>209</v>
      </c>
      <c r="G61" t="s">
        <v>218</v>
      </c>
      <c r="H61" s="4"/>
      <c r="I61" s="4"/>
      <c r="J61" s="4"/>
      <c r="K61" s="4"/>
      <c r="L61" s="4"/>
      <c r="M61" s="24"/>
    </row>
    <row r="62" spans="1:13" ht="19.5">
      <c r="A62" s="23"/>
      <c r="B62" t="s">
        <v>211</v>
      </c>
      <c r="E62" s="3">
        <v>10000</v>
      </c>
      <c r="F62" t="s">
        <v>209</v>
      </c>
      <c r="G62" t="s">
        <v>218</v>
      </c>
      <c r="H62" s="4"/>
      <c r="I62" s="4"/>
      <c r="J62" s="4"/>
      <c r="K62" s="4"/>
      <c r="L62" s="4"/>
      <c r="M62" s="24"/>
    </row>
    <row r="63" spans="1:13" ht="19.5">
      <c r="A63" s="23"/>
      <c r="B63" t="s">
        <v>212</v>
      </c>
      <c r="E63" s="3">
        <v>10000</v>
      </c>
      <c r="F63" t="s">
        <v>209</v>
      </c>
      <c r="G63" t="s">
        <v>218</v>
      </c>
      <c r="H63" s="4"/>
      <c r="I63" s="4"/>
      <c r="J63" s="4"/>
      <c r="K63" s="4"/>
      <c r="L63" s="4"/>
      <c r="M63" s="24"/>
    </row>
    <row r="64" spans="1:13" ht="19.5">
      <c r="A64" s="23"/>
      <c r="B64" t="s">
        <v>213</v>
      </c>
      <c r="E64" s="3">
        <v>10000</v>
      </c>
      <c r="F64" t="s">
        <v>209</v>
      </c>
      <c r="G64" t="s">
        <v>218</v>
      </c>
      <c r="H64" s="4"/>
      <c r="I64" s="4"/>
      <c r="J64" s="4"/>
      <c r="K64" s="4"/>
      <c r="L64" s="4"/>
      <c r="M64" s="24"/>
    </row>
    <row r="65" spans="1:13" ht="19.5">
      <c r="A65" s="23"/>
      <c r="B65" t="s">
        <v>214</v>
      </c>
      <c r="E65" s="3">
        <v>12000</v>
      </c>
      <c r="F65" t="s">
        <v>209</v>
      </c>
      <c r="G65" t="s">
        <v>218</v>
      </c>
      <c r="H65" s="4">
        <v>5</v>
      </c>
      <c r="I65" s="4"/>
      <c r="J65" s="4"/>
      <c r="K65" s="4"/>
      <c r="L65" s="4"/>
      <c r="M65" s="24"/>
    </row>
    <row r="66" spans="1:13" ht="19.5">
      <c r="A66" s="23"/>
      <c r="B66" t="s">
        <v>215</v>
      </c>
      <c r="E66" s="3">
        <v>14000</v>
      </c>
      <c r="F66" t="s">
        <v>209</v>
      </c>
      <c r="G66" t="s">
        <v>217</v>
      </c>
      <c r="H66" s="4">
        <v>6</v>
      </c>
      <c r="I66" s="4"/>
      <c r="J66" s="4"/>
      <c r="K66" s="4"/>
      <c r="L66" s="4"/>
      <c r="M66" s="24"/>
    </row>
    <row r="67" spans="1:13" ht="19.5">
      <c r="A67" s="23"/>
      <c r="B67" t="s">
        <v>216</v>
      </c>
      <c r="E67" s="3">
        <v>16000</v>
      </c>
      <c r="F67" t="s">
        <v>209</v>
      </c>
      <c r="G67" t="s">
        <v>217</v>
      </c>
      <c r="H67" s="4">
        <v>7</v>
      </c>
      <c r="I67" s="4"/>
      <c r="J67" s="4"/>
      <c r="K67" s="4"/>
      <c r="L67" s="4"/>
      <c r="M67" s="24"/>
    </row>
    <row r="68" spans="1:13" ht="19.5">
      <c r="A68" s="23"/>
      <c r="E68" s="3"/>
      <c r="H68" s="4"/>
      <c r="I68" s="4"/>
      <c r="J68" s="4"/>
      <c r="K68" s="4"/>
      <c r="L68" s="4"/>
      <c r="M68" s="24"/>
    </row>
    <row r="69" spans="1:13" ht="19.5">
      <c r="A69" s="23"/>
      <c r="B69" t="s">
        <v>148</v>
      </c>
      <c r="E69" s="3">
        <v>19360</v>
      </c>
      <c r="F69" t="s">
        <v>146</v>
      </c>
      <c r="G69" t="s">
        <v>147</v>
      </c>
      <c r="H69" s="4"/>
      <c r="I69" s="4"/>
      <c r="J69" s="4"/>
      <c r="K69" s="4"/>
      <c r="L69" s="4"/>
      <c r="M69" s="24"/>
    </row>
    <row r="70" spans="1:13" ht="19.5">
      <c r="A70" s="23"/>
      <c r="B70" t="s">
        <v>138</v>
      </c>
      <c r="E70" s="3">
        <v>23140</v>
      </c>
      <c r="F70" t="s">
        <v>146</v>
      </c>
      <c r="G70" t="s">
        <v>147</v>
      </c>
      <c r="H70" s="4"/>
      <c r="I70" s="4"/>
      <c r="J70" s="4"/>
      <c r="K70" s="4"/>
      <c r="L70" s="4"/>
      <c r="M70" s="24"/>
    </row>
    <row r="71" spans="1:13" ht="19.5">
      <c r="A71" s="23"/>
      <c r="B71" t="s">
        <v>149</v>
      </c>
      <c r="E71" s="3">
        <v>29010</v>
      </c>
      <c r="F71" t="s">
        <v>146</v>
      </c>
      <c r="G71" t="s">
        <v>147</v>
      </c>
      <c r="H71" s="4"/>
      <c r="I71" s="4"/>
      <c r="J71" s="4"/>
      <c r="K71" s="4"/>
      <c r="L71" s="4"/>
      <c r="M71" s="24"/>
    </row>
    <row r="72" spans="1:13" ht="19.5">
      <c r="A72" s="23"/>
      <c r="B72" t="s">
        <v>182</v>
      </c>
      <c r="E72" s="3">
        <v>38940</v>
      </c>
      <c r="F72" t="s">
        <v>146</v>
      </c>
      <c r="G72" t="s">
        <v>147</v>
      </c>
      <c r="H72" s="4"/>
      <c r="I72" s="4"/>
      <c r="J72" s="4"/>
      <c r="K72" s="4"/>
      <c r="L72" s="4"/>
      <c r="M72" s="24"/>
    </row>
    <row r="73" spans="1:13" ht="19.5">
      <c r="A73" s="23"/>
      <c r="B73" t="s">
        <v>183</v>
      </c>
      <c r="E73" s="3">
        <v>31000</v>
      </c>
      <c r="F73" t="s">
        <v>129</v>
      </c>
      <c r="G73" t="s">
        <v>139</v>
      </c>
      <c r="H73" s="4"/>
      <c r="I73" s="4"/>
      <c r="J73" s="4"/>
      <c r="K73" s="4"/>
      <c r="L73" s="4"/>
      <c r="M73" s="24"/>
    </row>
    <row r="74" spans="1:13" ht="19.5">
      <c r="A74" s="23"/>
      <c r="B74" t="s">
        <v>140</v>
      </c>
      <c r="E74" s="3">
        <v>32000</v>
      </c>
      <c r="F74" t="s">
        <v>129</v>
      </c>
      <c r="G74" t="s">
        <v>139</v>
      </c>
      <c r="H74" s="4"/>
      <c r="I74" s="4"/>
      <c r="J74" s="4"/>
      <c r="K74" s="4"/>
      <c r="L74" s="4"/>
      <c r="M74" s="24"/>
    </row>
    <row r="75" spans="1:13" ht="19.5">
      <c r="A75" s="23"/>
      <c r="B75" t="s">
        <v>141</v>
      </c>
      <c r="E75" s="3">
        <v>34000</v>
      </c>
      <c r="F75" t="s">
        <v>129</v>
      </c>
      <c r="G75" t="s">
        <v>139</v>
      </c>
      <c r="H75" s="4"/>
      <c r="I75" s="4"/>
      <c r="J75" s="4"/>
      <c r="K75" s="4"/>
      <c r="L75" s="4"/>
      <c r="M75" s="24"/>
    </row>
    <row r="76" spans="1:13" ht="19.5">
      <c r="A76" s="23"/>
      <c r="B76" t="s">
        <v>142</v>
      </c>
      <c r="E76" s="3">
        <v>35000</v>
      </c>
      <c r="F76" t="s">
        <v>129</v>
      </c>
      <c r="G76" t="s">
        <v>139</v>
      </c>
      <c r="H76" s="4"/>
      <c r="I76" s="4"/>
      <c r="J76" s="4"/>
      <c r="K76" s="4"/>
      <c r="M76" s="24"/>
    </row>
    <row r="77" spans="1:13" ht="19.5">
      <c r="A77" s="23"/>
      <c r="B77" t="s">
        <v>185</v>
      </c>
      <c r="E77" s="3">
        <v>38000</v>
      </c>
      <c r="G77" t="s">
        <v>139</v>
      </c>
      <c r="H77" s="4"/>
      <c r="I77" s="4"/>
      <c r="J77" s="4"/>
      <c r="K77" s="4"/>
      <c r="M77" s="24"/>
    </row>
    <row r="78" spans="1:13" ht="19.5">
      <c r="A78" s="23"/>
      <c r="B78" t="s">
        <v>184</v>
      </c>
      <c r="E78" s="3">
        <v>30000</v>
      </c>
      <c r="F78" t="s">
        <v>129</v>
      </c>
      <c r="G78" t="s">
        <v>139</v>
      </c>
      <c r="H78" s="4"/>
      <c r="I78" s="4"/>
      <c r="J78" s="4"/>
      <c r="K78" s="4"/>
      <c r="L78" s="4"/>
      <c r="M78" s="24"/>
    </row>
    <row r="79" spans="1:13" ht="19.5">
      <c r="A79" s="23"/>
      <c r="B79" t="s">
        <v>143</v>
      </c>
      <c r="E79" s="3">
        <v>36000</v>
      </c>
      <c r="F79" t="s">
        <v>129</v>
      </c>
      <c r="G79" t="s">
        <v>139</v>
      </c>
      <c r="H79" s="4"/>
      <c r="I79" s="4"/>
      <c r="J79" s="4"/>
      <c r="K79" s="4"/>
      <c r="L79" s="4"/>
      <c r="M79" s="24"/>
    </row>
    <row r="80" spans="1:13" ht="19.5">
      <c r="A80" s="23"/>
      <c r="B80" t="s">
        <v>144</v>
      </c>
      <c r="E80" s="3">
        <v>41000</v>
      </c>
      <c r="F80" t="s">
        <v>129</v>
      </c>
      <c r="G80" t="s">
        <v>139</v>
      </c>
      <c r="H80" s="4"/>
      <c r="I80" s="4"/>
      <c r="J80" s="4"/>
      <c r="K80" s="4"/>
      <c r="L80" s="4"/>
      <c r="M80" s="24"/>
    </row>
    <row r="81" spans="1:13" ht="19.5">
      <c r="A81" s="23"/>
      <c r="B81" t="s">
        <v>145</v>
      </c>
      <c r="E81" s="3">
        <v>47000</v>
      </c>
      <c r="F81" t="s">
        <v>126</v>
      </c>
      <c r="G81" t="s">
        <v>139</v>
      </c>
      <c r="H81" s="4"/>
      <c r="I81" s="4"/>
      <c r="J81" s="4"/>
      <c r="K81" s="4"/>
      <c r="L81" s="4"/>
      <c r="M81" s="24"/>
    </row>
    <row r="82" spans="1:13" ht="19.5">
      <c r="A82" s="20"/>
      <c r="B82" s="14" t="s">
        <v>186</v>
      </c>
      <c r="C82" s="14"/>
      <c r="D82" s="14"/>
      <c r="E82" s="21">
        <v>58000</v>
      </c>
      <c r="F82" s="14"/>
      <c r="G82" s="14" t="s">
        <v>139</v>
      </c>
      <c r="H82" s="19"/>
      <c r="I82" s="19"/>
      <c r="J82" s="19"/>
      <c r="K82" s="19"/>
      <c r="L82" s="19"/>
      <c r="M82" s="25"/>
    </row>
    <row r="83" spans="1:13" ht="19.5">
      <c r="E83" s="3"/>
      <c r="M83" s="5"/>
    </row>
    <row r="84" spans="1:13" ht="19.5">
      <c r="A84" s="29" t="s">
        <v>115</v>
      </c>
      <c r="B84" s="17"/>
      <c r="C84" s="17"/>
      <c r="D84" s="17"/>
      <c r="E84" s="17"/>
      <c r="F84" s="17"/>
      <c r="G84" s="17"/>
      <c r="H84" s="18">
        <v>1</v>
      </c>
      <c r="I84" s="18">
        <v>2</v>
      </c>
      <c r="J84" s="18">
        <v>3</v>
      </c>
      <c r="K84" s="18">
        <v>4</v>
      </c>
      <c r="L84" s="18">
        <v>5</v>
      </c>
      <c r="M84" s="61">
        <v>6</v>
      </c>
    </row>
    <row r="85" spans="1:13" ht="19.5">
      <c r="A85" s="23"/>
      <c r="B85" s="28" t="s">
        <v>77</v>
      </c>
      <c r="D85" s="28"/>
      <c r="E85" s="10">
        <v>1150000</v>
      </c>
      <c r="F85" t="s">
        <v>127</v>
      </c>
      <c r="G85" t="s">
        <v>78</v>
      </c>
      <c r="H85" s="4" t="s">
        <v>114</v>
      </c>
      <c r="I85" s="4" t="s">
        <v>114</v>
      </c>
      <c r="J85" s="4"/>
      <c r="K85" s="4"/>
      <c r="L85" s="4"/>
      <c r="M85" s="62"/>
    </row>
    <row r="86" spans="1:13" ht="19.5">
      <c r="A86" s="23"/>
      <c r="B86" s="28" t="s">
        <v>79</v>
      </c>
      <c r="D86" s="28"/>
      <c r="E86" s="10">
        <v>1000000</v>
      </c>
      <c r="F86" t="s">
        <v>85</v>
      </c>
      <c r="H86" s="4" t="s">
        <v>114</v>
      </c>
      <c r="I86" s="4" t="s">
        <v>114</v>
      </c>
      <c r="J86" s="4"/>
      <c r="K86" s="4"/>
      <c r="L86" s="4"/>
      <c r="M86" s="62"/>
    </row>
    <row r="87" spans="1:13" ht="19.5">
      <c r="A87" s="23"/>
      <c r="B87" s="28" t="s">
        <v>80</v>
      </c>
      <c r="D87" s="28"/>
      <c r="E87" s="10">
        <v>500000</v>
      </c>
      <c r="F87" t="s">
        <v>85</v>
      </c>
      <c r="G87" t="s">
        <v>81</v>
      </c>
      <c r="H87" s="4"/>
      <c r="I87" s="4" t="s">
        <v>114</v>
      </c>
      <c r="J87" s="4"/>
      <c r="K87" s="4"/>
      <c r="L87" s="4"/>
      <c r="M87" s="62"/>
    </row>
    <row r="88" spans="1:13" ht="19.5">
      <c r="A88" s="23"/>
      <c r="E88" s="10"/>
      <c r="H88" s="4"/>
      <c r="I88" s="4"/>
      <c r="J88" s="4"/>
      <c r="K88" s="4"/>
      <c r="L88" s="4"/>
      <c r="M88" s="62"/>
    </row>
    <row r="89" spans="1:13" ht="19.5">
      <c r="A89" s="23"/>
      <c r="B89" s="28" t="s">
        <v>289</v>
      </c>
      <c r="E89" s="10">
        <v>1850000</v>
      </c>
      <c r="F89" t="s">
        <v>292</v>
      </c>
      <c r="G89" t="s">
        <v>290</v>
      </c>
      <c r="H89" s="4"/>
      <c r="I89" s="4"/>
      <c r="J89" s="4" t="s">
        <v>114</v>
      </c>
      <c r="K89" s="4"/>
      <c r="L89" s="4"/>
      <c r="M89" s="62"/>
    </row>
    <row r="90" spans="1:13" ht="19.5">
      <c r="A90" s="23"/>
      <c r="B90" s="28" t="s">
        <v>285</v>
      </c>
      <c r="D90" s="22"/>
      <c r="E90" s="10">
        <v>4850000</v>
      </c>
      <c r="F90" t="s">
        <v>85</v>
      </c>
      <c r="G90" t="s">
        <v>253</v>
      </c>
      <c r="H90" s="4"/>
      <c r="I90" s="4"/>
      <c r="J90" s="4"/>
      <c r="K90" s="4" t="s">
        <v>114</v>
      </c>
      <c r="L90" s="4"/>
      <c r="M90" s="62"/>
    </row>
    <row r="91" spans="1:13" ht="19.5">
      <c r="A91" s="23"/>
      <c r="B91" s="28" t="s">
        <v>286</v>
      </c>
      <c r="D91" s="22"/>
      <c r="E91" s="10">
        <v>13000000</v>
      </c>
      <c r="F91" t="s">
        <v>287</v>
      </c>
      <c r="G91" t="s">
        <v>288</v>
      </c>
      <c r="H91" s="4"/>
      <c r="I91" s="4"/>
      <c r="J91" s="4"/>
      <c r="K91" s="4"/>
      <c r="L91" s="4" t="s">
        <v>114</v>
      </c>
      <c r="M91" s="62"/>
    </row>
    <row r="92" spans="1:13" ht="19.5">
      <c r="A92" s="23"/>
      <c r="B92" s="28" t="s">
        <v>291</v>
      </c>
      <c r="D92" s="22"/>
      <c r="E92" s="10">
        <f>300000+150000</f>
        <v>450000</v>
      </c>
      <c r="H92" s="4"/>
      <c r="I92" s="4"/>
      <c r="J92" s="4" t="s">
        <v>114</v>
      </c>
      <c r="K92" s="4"/>
      <c r="L92" s="4"/>
      <c r="M92" s="62"/>
    </row>
    <row r="93" spans="1:13" ht="19.5">
      <c r="A93" s="23"/>
      <c r="B93" s="28" t="s">
        <v>102</v>
      </c>
      <c r="E93" s="10">
        <v>1200000</v>
      </c>
      <c r="F93" t="s">
        <v>85</v>
      </c>
      <c r="G93" t="s">
        <v>150</v>
      </c>
      <c r="H93" s="4"/>
      <c r="I93" s="4"/>
      <c r="J93" s="4"/>
      <c r="K93" s="4" t="s">
        <v>114</v>
      </c>
      <c r="L93" s="4"/>
      <c r="M93" s="62"/>
    </row>
    <row r="94" spans="1:13" ht="19.5">
      <c r="A94" s="23"/>
      <c r="B94" s="28" t="s">
        <v>102</v>
      </c>
      <c r="E94" s="10">
        <v>1400000</v>
      </c>
      <c r="F94" t="s">
        <v>85</v>
      </c>
      <c r="G94" t="s">
        <v>151</v>
      </c>
      <c r="H94" s="4"/>
      <c r="I94" s="4"/>
      <c r="J94" s="4"/>
      <c r="K94" s="4"/>
      <c r="L94" s="4" t="s">
        <v>114</v>
      </c>
      <c r="M94" s="62"/>
    </row>
    <row r="95" spans="1:13" ht="19.5">
      <c r="A95" s="23"/>
      <c r="B95" s="8" t="s">
        <v>328</v>
      </c>
      <c r="E95" s="30">
        <v>200000</v>
      </c>
      <c r="F95" t="s">
        <v>292</v>
      </c>
      <c r="G95" t="s">
        <v>329</v>
      </c>
      <c r="H95" s="4"/>
      <c r="I95" s="4"/>
      <c r="J95" s="4" t="s">
        <v>114</v>
      </c>
      <c r="K95" s="4" t="s">
        <v>114</v>
      </c>
      <c r="L95" s="4" t="s">
        <v>114</v>
      </c>
      <c r="M95" s="62"/>
    </row>
    <row r="96" spans="1:13" ht="19.5">
      <c r="A96" s="23"/>
      <c r="B96" s="28" t="s">
        <v>105</v>
      </c>
      <c r="D96" s="22"/>
      <c r="E96" s="10">
        <v>1500000</v>
      </c>
      <c r="F96" t="s">
        <v>85</v>
      </c>
      <c r="G96" t="s">
        <v>104</v>
      </c>
      <c r="H96" s="4"/>
      <c r="I96" s="4"/>
      <c r="J96" s="4"/>
      <c r="K96" s="4"/>
      <c r="L96" s="4"/>
      <c r="M96" s="62" t="s">
        <v>114</v>
      </c>
    </row>
    <row r="97" spans="1:13" ht="19.5">
      <c r="A97" s="20"/>
      <c r="B97" s="14"/>
      <c r="C97" s="14"/>
      <c r="D97" s="14"/>
      <c r="E97" s="14"/>
      <c r="F97" s="14"/>
      <c r="G97" s="14"/>
      <c r="H97" s="14"/>
      <c r="I97" s="14"/>
      <c r="J97" s="14"/>
      <c r="K97" s="14"/>
      <c r="L97" s="14"/>
      <c r="M97" s="63"/>
    </row>
    <row r="98" spans="1:13" ht="19.5">
      <c r="E98" s="10"/>
      <c r="H98" s="4"/>
      <c r="I98" s="4"/>
      <c r="J98" s="4"/>
      <c r="K98" s="4"/>
      <c r="L98" s="4"/>
      <c r="M98" s="5"/>
    </row>
    <row r="99" spans="1:13" ht="19.5">
      <c r="A99" s="29" t="s">
        <v>107</v>
      </c>
      <c r="B99" s="17"/>
      <c r="C99" s="17"/>
      <c r="D99" s="17"/>
      <c r="E99" s="26"/>
      <c r="F99" s="17"/>
      <c r="G99" s="17"/>
      <c r="H99" s="18">
        <v>1</v>
      </c>
      <c r="I99" s="18">
        <v>2</v>
      </c>
      <c r="J99" s="18">
        <v>3</v>
      </c>
      <c r="K99" s="18">
        <v>4</v>
      </c>
      <c r="L99" s="18">
        <v>5</v>
      </c>
      <c r="M99" s="61">
        <v>6</v>
      </c>
    </row>
    <row r="100" spans="1:13" ht="19.5">
      <c r="A100" s="23"/>
      <c r="B100" t="s">
        <v>109</v>
      </c>
      <c r="E100" s="10">
        <v>1630000</v>
      </c>
      <c r="F100" t="s">
        <v>127</v>
      </c>
      <c r="G100" t="s">
        <v>110</v>
      </c>
      <c r="H100" s="4" t="s">
        <v>114</v>
      </c>
      <c r="I100" s="4" t="s">
        <v>114</v>
      </c>
      <c r="J100" s="4"/>
      <c r="K100" s="4"/>
      <c r="L100" s="4"/>
      <c r="M100" s="24"/>
    </row>
    <row r="101" spans="1:13" ht="19.5">
      <c r="A101" s="23"/>
      <c r="B101" t="s">
        <v>54</v>
      </c>
      <c r="E101" s="10">
        <v>4020000</v>
      </c>
      <c r="F101" t="s">
        <v>128</v>
      </c>
      <c r="G101" t="s">
        <v>111</v>
      </c>
      <c r="H101" s="4"/>
      <c r="I101" s="4"/>
      <c r="J101" s="4"/>
      <c r="K101" s="4"/>
      <c r="L101" s="4"/>
      <c r="M101" s="24"/>
    </row>
    <row r="102" spans="1:13" ht="19.5">
      <c r="A102" s="23"/>
      <c r="E102" s="10"/>
      <c r="H102" s="4"/>
      <c r="I102" s="4"/>
      <c r="J102" s="4"/>
      <c r="K102" s="4"/>
      <c r="L102" s="4"/>
      <c r="M102" s="24"/>
    </row>
    <row r="103" spans="1:13" ht="19.5">
      <c r="A103" s="23"/>
      <c r="B103" t="s">
        <v>54</v>
      </c>
      <c r="E103" s="10">
        <v>3920000</v>
      </c>
      <c r="F103" t="s">
        <v>85</v>
      </c>
      <c r="G103" t="s">
        <v>197</v>
      </c>
      <c r="H103" s="4"/>
      <c r="I103" s="4"/>
      <c r="J103" s="4" t="s">
        <v>114</v>
      </c>
      <c r="K103" s="4"/>
      <c r="L103" s="4"/>
      <c r="M103" s="24"/>
    </row>
    <row r="104" spans="1:13" ht="19.5">
      <c r="A104" s="23"/>
      <c r="B104" t="s">
        <v>54</v>
      </c>
      <c r="E104" s="10">
        <v>4750000</v>
      </c>
      <c r="F104" t="s">
        <v>85</v>
      </c>
      <c r="G104" t="s">
        <v>198</v>
      </c>
      <c r="H104" s="4"/>
      <c r="I104" s="4"/>
      <c r="J104" s="4"/>
      <c r="K104" s="4"/>
      <c r="L104" s="4"/>
      <c r="M104" s="24"/>
    </row>
    <row r="105" spans="1:13" ht="19.5">
      <c r="A105" s="23"/>
      <c r="B105" t="s">
        <v>55</v>
      </c>
      <c r="E105" s="10">
        <v>7700000</v>
      </c>
      <c r="F105" t="s">
        <v>85</v>
      </c>
      <c r="H105" s="4"/>
      <c r="I105" s="4"/>
      <c r="J105" s="4"/>
      <c r="K105" s="4" t="s">
        <v>114</v>
      </c>
      <c r="L105" s="4"/>
      <c r="M105" s="24"/>
    </row>
    <row r="106" spans="1:13" ht="19.5">
      <c r="A106" s="23"/>
      <c r="B106" s="22" t="s">
        <v>112</v>
      </c>
      <c r="D106" s="22"/>
      <c r="E106" s="10">
        <v>400000</v>
      </c>
      <c r="F106" t="s">
        <v>85</v>
      </c>
      <c r="G106" t="s">
        <v>82</v>
      </c>
      <c r="H106" s="4"/>
      <c r="I106" s="4" t="s">
        <v>114</v>
      </c>
      <c r="J106" s="4" t="s">
        <v>114</v>
      </c>
      <c r="K106" s="4" t="s">
        <v>114</v>
      </c>
      <c r="L106" s="4" t="s">
        <v>114</v>
      </c>
      <c r="M106" s="24"/>
    </row>
    <row r="107" spans="1:13" ht="19.5">
      <c r="A107" s="23"/>
      <c r="M107" s="24"/>
    </row>
    <row r="108" spans="1:13" ht="19.5">
      <c r="A108" s="23"/>
      <c r="M108" s="24"/>
    </row>
    <row r="109" spans="1:13" ht="19.5">
      <c r="A109" s="20"/>
      <c r="B109" s="14"/>
      <c r="C109" s="14"/>
      <c r="D109" s="14"/>
      <c r="E109" s="14"/>
      <c r="F109" s="14"/>
      <c r="G109" s="14"/>
      <c r="H109" s="14"/>
      <c r="I109" s="14"/>
      <c r="J109" s="14"/>
      <c r="K109" s="14"/>
      <c r="L109" s="14"/>
      <c r="M109" s="25"/>
    </row>
  </sheetData>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EE716-D3AB-4746-9F69-FB5B60919919}">
  <sheetPr codeName="Sheet8"/>
  <dimension ref="A1:L110"/>
  <sheetViews>
    <sheetView topLeftCell="A34" zoomScale="70" zoomScaleNormal="70" workbookViewId="0">
      <selection activeCell="E86" sqref="E86"/>
    </sheetView>
  </sheetViews>
  <sheetFormatPr defaultRowHeight="19.5"/>
  <cols>
    <col min="1" max="1" width="12" customWidth="1"/>
    <col min="2" max="2" width="23.5" bestFit="1" customWidth="1"/>
    <col min="3" max="6" width="25" customWidth="1"/>
    <col min="7" max="7" width="22.75" customWidth="1"/>
    <col min="10" max="10" width="15.375" style="5" bestFit="1" customWidth="1"/>
  </cols>
  <sheetData>
    <row r="1" spans="1:12" ht="33">
      <c r="A1" s="16" t="s">
        <v>154</v>
      </c>
      <c r="J1"/>
    </row>
    <row r="2" spans="1:12" ht="18.75">
      <c r="A2" t="s">
        <v>178</v>
      </c>
      <c r="J2"/>
    </row>
    <row r="3" spans="1:12" ht="37.5">
      <c r="A3" s="14"/>
      <c r="B3" s="14"/>
      <c r="C3" s="33" t="s">
        <v>75</v>
      </c>
      <c r="D3" s="32" t="s">
        <v>228</v>
      </c>
      <c r="E3" s="32" t="s">
        <v>193</v>
      </c>
      <c r="F3" s="32" t="s">
        <v>223</v>
      </c>
      <c r="G3" s="32" t="s">
        <v>194</v>
      </c>
      <c r="H3" s="14"/>
      <c r="I3" s="14"/>
      <c r="J3" s="14"/>
      <c r="K3" s="14"/>
      <c r="L3" s="14"/>
    </row>
    <row r="4" spans="1:12" ht="123.75" customHeight="1">
      <c r="A4" s="17"/>
      <c r="B4" s="17" t="s">
        <v>226</v>
      </c>
      <c r="C4" s="37" t="s">
        <v>227</v>
      </c>
      <c r="D4" s="37" t="s">
        <v>233</v>
      </c>
      <c r="E4" s="37" t="s">
        <v>229</v>
      </c>
      <c r="F4" s="38" t="s">
        <v>230</v>
      </c>
      <c r="G4" s="38" t="s">
        <v>231</v>
      </c>
      <c r="H4" s="17"/>
      <c r="I4" s="17"/>
      <c r="J4" s="17"/>
      <c r="K4" s="17"/>
      <c r="L4" s="17"/>
    </row>
    <row r="5" spans="1:12" ht="18.75">
      <c r="A5" s="28" t="s">
        <v>247</v>
      </c>
      <c r="I5" t="s">
        <v>11</v>
      </c>
      <c r="J5" t="s">
        <v>12</v>
      </c>
      <c r="K5" t="s">
        <v>15</v>
      </c>
    </row>
    <row r="6" spans="1:12" ht="18.75">
      <c r="A6" t="s">
        <v>235</v>
      </c>
      <c r="B6" t="s">
        <v>34</v>
      </c>
      <c r="I6">
        <v>65288.189189189186</v>
      </c>
      <c r="J6">
        <v>68751.519516510118</v>
      </c>
      <c r="K6">
        <v>0.90229860187918909</v>
      </c>
    </row>
    <row r="7" spans="1:12" ht="18.75">
      <c r="A7" t="s">
        <v>237</v>
      </c>
      <c r="B7" t="s">
        <v>37</v>
      </c>
      <c r="J7"/>
      <c r="K7">
        <v>0.45902849361763348</v>
      </c>
    </row>
    <row r="8" spans="1:12" ht="18.75">
      <c r="I8">
        <v>765782.70270270272</v>
      </c>
      <c r="J8">
        <v>642438.38828982273</v>
      </c>
      <c r="K8">
        <v>-4.9624702012717251E-2</v>
      </c>
    </row>
    <row r="9" spans="1:12" ht="18.75">
      <c r="A9" t="s">
        <v>234</v>
      </c>
      <c r="B9" t="s">
        <v>169</v>
      </c>
      <c r="C9" s="216" t="s">
        <v>243</v>
      </c>
      <c r="D9" s="216"/>
      <c r="E9" s="216"/>
      <c r="F9" s="216"/>
      <c r="G9" s="216"/>
      <c r="J9"/>
      <c r="L9" t="s">
        <v>180</v>
      </c>
    </row>
    <row r="10" spans="1:12" ht="18.75">
      <c r="A10" s="14"/>
      <c r="B10" s="14"/>
      <c r="C10" s="217"/>
      <c r="D10" s="217"/>
      <c r="E10" s="217"/>
      <c r="F10" s="217"/>
      <c r="G10" s="217"/>
      <c r="H10" s="14"/>
      <c r="I10" s="14"/>
      <c r="J10" s="14"/>
      <c r="K10" s="14"/>
      <c r="L10" s="14"/>
    </row>
    <row r="11" spans="1:12" ht="18.75">
      <c r="A11" s="28" t="s">
        <v>246</v>
      </c>
      <c r="I11" t="s">
        <v>11</v>
      </c>
      <c r="J11" t="s">
        <v>12</v>
      </c>
      <c r="K11" t="s">
        <v>15</v>
      </c>
    </row>
    <row r="12" spans="1:12" ht="18.75">
      <c r="A12" t="s">
        <v>235</v>
      </c>
      <c r="B12" t="s">
        <v>34</v>
      </c>
      <c r="I12">
        <v>7864.2941176470586</v>
      </c>
      <c r="J12">
        <v>3767.084602672322</v>
      </c>
      <c r="K12">
        <v>0.60140354654180128</v>
      </c>
    </row>
    <row r="13" spans="1:12" ht="18.75">
      <c r="A13" t="s">
        <v>236</v>
      </c>
      <c r="B13" t="s">
        <v>35</v>
      </c>
      <c r="J13"/>
      <c r="K13">
        <v>0.89496961383043072</v>
      </c>
    </row>
    <row r="14" spans="1:12" ht="18.75">
      <c r="A14" t="s">
        <v>238</v>
      </c>
      <c r="B14" t="s">
        <v>36</v>
      </c>
      <c r="J14"/>
      <c r="K14">
        <v>0.54169622327386757</v>
      </c>
    </row>
    <row r="15" spans="1:12" ht="18.75">
      <c r="I15">
        <v>135839.50980392157</v>
      </c>
      <c r="J15">
        <v>79952.613021928293</v>
      </c>
      <c r="K15">
        <v>-0.19026249939555934</v>
      </c>
    </row>
    <row r="16" spans="1:12" ht="18.75">
      <c r="A16" t="s">
        <v>234</v>
      </c>
      <c r="B16" t="s">
        <v>169</v>
      </c>
      <c r="C16" s="216" t="s">
        <v>242</v>
      </c>
      <c r="D16" s="216"/>
      <c r="E16" s="216"/>
      <c r="F16" s="216"/>
      <c r="G16" s="216"/>
      <c r="J16"/>
      <c r="L16" t="s">
        <v>180</v>
      </c>
    </row>
    <row r="17" spans="1:12" ht="18.75">
      <c r="A17" s="14"/>
      <c r="B17" s="14"/>
      <c r="C17" s="217"/>
      <c r="D17" s="217"/>
      <c r="E17" s="217"/>
      <c r="F17" s="217"/>
      <c r="G17" s="217"/>
      <c r="H17" s="14"/>
      <c r="I17" s="14"/>
      <c r="J17" s="14"/>
      <c r="K17" s="14"/>
      <c r="L17" s="14"/>
    </row>
    <row r="18" spans="1:12" ht="18.75">
      <c r="A18" t="s">
        <v>13</v>
      </c>
      <c r="I18" t="s">
        <v>11</v>
      </c>
      <c r="J18" t="s">
        <v>12</v>
      </c>
      <c r="K18" t="s">
        <v>15</v>
      </c>
    </row>
    <row r="19" spans="1:12" ht="18.75">
      <c r="A19" t="s">
        <v>235</v>
      </c>
      <c r="B19" t="s">
        <v>17</v>
      </c>
      <c r="I19">
        <v>2519.1376146788989</v>
      </c>
      <c r="J19">
        <v>1436.1427791064618</v>
      </c>
      <c r="K19">
        <v>0.58066045282425927</v>
      </c>
    </row>
    <row r="20" spans="1:12" ht="18.75">
      <c r="A20" t="s">
        <v>236</v>
      </c>
      <c r="B20" t="s">
        <v>10</v>
      </c>
      <c r="I20">
        <v>2.834862385321101</v>
      </c>
      <c r="J20">
        <v>2.3481937679603635</v>
      </c>
      <c r="K20">
        <v>0.19258431355941766</v>
      </c>
    </row>
    <row r="21" spans="1:12" ht="18.75">
      <c r="A21" t="s">
        <v>238</v>
      </c>
      <c r="B21" t="s">
        <v>35</v>
      </c>
      <c r="J21"/>
      <c r="K21">
        <v>0.64972147378973322</v>
      </c>
    </row>
    <row r="22" spans="1:12" ht="18.75">
      <c r="A22" t="s">
        <v>239</v>
      </c>
      <c r="B22" t="s">
        <v>232</v>
      </c>
      <c r="J22"/>
      <c r="K22">
        <v>0.4285269536425787</v>
      </c>
    </row>
    <row r="23" spans="1:12" ht="18.75">
      <c r="A23" t="s">
        <v>240</v>
      </c>
      <c r="B23" t="s">
        <v>36</v>
      </c>
      <c r="J23"/>
      <c r="K23">
        <v>0.37270707619701554</v>
      </c>
    </row>
    <row r="24" spans="1:12" ht="18.75">
      <c r="I24">
        <v>64841.302752293581</v>
      </c>
      <c r="J24">
        <v>31423.067053309442</v>
      </c>
      <c r="K24">
        <v>-0.3471113845990445</v>
      </c>
    </row>
    <row r="25" spans="1:12" ht="18.75">
      <c r="A25" t="s">
        <v>234</v>
      </c>
      <c r="B25" t="s">
        <v>169</v>
      </c>
      <c r="C25" s="216" t="s">
        <v>241</v>
      </c>
      <c r="D25" s="216"/>
      <c r="E25" s="216"/>
      <c r="F25" s="216"/>
      <c r="G25" s="216"/>
      <c r="J25"/>
      <c r="L25" t="s">
        <v>180</v>
      </c>
    </row>
    <row r="26" spans="1:12" ht="18.75">
      <c r="A26" s="14"/>
      <c r="B26" s="14"/>
      <c r="C26" s="217"/>
      <c r="D26" s="217"/>
      <c r="E26" s="217"/>
      <c r="F26" s="217"/>
      <c r="G26" s="217"/>
      <c r="H26" s="14"/>
      <c r="I26" s="14"/>
      <c r="J26" s="14"/>
      <c r="K26" s="14"/>
      <c r="L26" s="14"/>
    </row>
    <row r="27" spans="1:12" ht="18.75">
      <c r="A27" t="s">
        <v>14</v>
      </c>
      <c r="I27" t="s">
        <v>11</v>
      </c>
      <c r="J27" t="s">
        <v>12</v>
      </c>
      <c r="K27" t="s">
        <v>15</v>
      </c>
    </row>
    <row r="28" spans="1:12" ht="18.75">
      <c r="A28" t="s">
        <v>235</v>
      </c>
      <c r="B28" t="s">
        <v>21</v>
      </c>
      <c r="I28">
        <v>157.26818181818183</v>
      </c>
      <c r="J28">
        <v>165.10247519447097</v>
      </c>
      <c r="K28">
        <v>1725082.6322106149</v>
      </c>
    </row>
    <row r="29" spans="1:12" ht="18.75">
      <c r="A29" t="s">
        <v>236</v>
      </c>
      <c r="B29" t="s">
        <v>20</v>
      </c>
      <c r="J29"/>
      <c r="K29">
        <v>1405688.9260355621</v>
      </c>
    </row>
    <row r="30" spans="1:12" ht="18.75">
      <c r="J30"/>
      <c r="K30">
        <v>1212566.9124080781</v>
      </c>
    </row>
    <row r="31" spans="1:12" ht="18.75">
      <c r="A31" t="s">
        <v>234</v>
      </c>
      <c r="B31" t="s">
        <v>169</v>
      </c>
      <c r="C31" s="216" t="s">
        <v>245</v>
      </c>
      <c r="D31" s="216"/>
      <c r="E31" s="216"/>
      <c r="F31" s="216"/>
      <c r="G31" s="216"/>
      <c r="J31"/>
      <c r="L31" s="6" t="s">
        <v>244</v>
      </c>
    </row>
    <row r="32" spans="1:12" ht="18.75">
      <c r="A32" s="14"/>
      <c r="B32" s="14"/>
      <c r="C32" s="217"/>
      <c r="D32" s="217"/>
      <c r="E32" s="217"/>
      <c r="F32" s="217"/>
      <c r="G32" s="217"/>
      <c r="H32" s="14"/>
      <c r="I32" s="14"/>
      <c r="J32" s="14"/>
      <c r="K32" s="14"/>
      <c r="L32" s="14"/>
    </row>
    <row r="33" spans="1:10" ht="18.75">
      <c r="A33" s="6"/>
      <c r="B33" s="8"/>
      <c r="C33" s="8"/>
      <c r="J33"/>
    </row>
    <row r="34" spans="1:10" ht="18.75">
      <c r="H34" s="6"/>
      <c r="J34"/>
    </row>
    <row r="35" spans="1:10" thickBot="1">
      <c r="B35" s="2" t="s">
        <v>0</v>
      </c>
      <c r="C35" s="2"/>
      <c r="D35" s="2"/>
      <c r="E35" s="2"/>
      <c r="H35" s="8"/>
      <c r="J35"/>
    </row>
    <row r="36" spans="1:10" thickBot="1">
      <c r="A36" s="8"/>
      <c r="B36" s="1" t="s">
        <v>1</v>
      </c>
      <c r="C36" s="1" t="s">
        <v>2</v>
      </c>
      <c r="D36" s="1" t="s">
        <v>4</v>
      </c>
      <c r="E36" s="1" t="s">
        <v>3</v>
      </c>
      <c r="H36" s="8"/>
      <c r="J36"/>
    </row>
    <row r="37" spans="1:10" thickTop="1">
      <c r="B37" t="s">
        <v>8</v>
      </c>
      <c r="C37" t="s">
        <v>24</v>
      </c>
      <c r="D37" t="s">
        <v>33</v>
      </c>
      <c r="J37"/>
    </row>
    <row r="38" spans="1:10" ht="18.75">
      <c r="A38" s="6"/>
      <c r="B38" t="s">
        <v>9</v>
      </c>
      <c r="C38" t="s">
        <v>25</v>
      </c>
      <c r="D38" t="s">
        <v>26</v>
      </c>
      <c r="J38"/>
    </row>
    <row r="39" spans="1:10" ht="18.75">
      <c r="B39" t="s">
        <v>22</v>
      </c>
      <c r="C39" t="s">
        <v>29</v>
      </c>
      <c r="D39" t="s">
        <v>30</v>
      </c>
      <c r="J39"/>
    </row>
    <row r="40" spans="1:10" thickBot="1">
      <c r="B40" s="2" t="s">
        <v>23</v>
      </c>
      <c r="C40" s="2" t="s">
        <v>27</v>
      </c>
      <c r="D40" s="2" t="s">
        <v>28</v>
      </c>
      <c r="E40" s="2"/>
      <c r="J40"/>
    </row>
    <row r="41" spans="1:10" ht="18.75">
      <c r="B41" t="s">
        <v>32</v>
      </c>
      <c r="C41" t="s">
        <v>31</v>
      </c>
      <c r="J41"/>
    </row>
    <row r="42" spans="1:10" ht="18.75">
      <c r="J42"/>
    </row>
    <row r="43" spans="1:10" ht="18.75">
      <c r="B43" t="s">
        <v>5</v>
      </c>
      <c r="J43"/>
    </row>
    <row r="44" spans="1:10" ht="18.75">
      <c r="B44" t="s">
        <v>6</v>
      </c>
      <c r="J44"/>
    </row>
    <row r="45" spans="1:10">
      <c r="B45" t="s">
        <v>7</v>
      </c>
    </row>
    <row r="47" spans="1:10">
      <c r="A47" t="s">
        <v>431</v>
      </c>
    </row>
    <row r="50" spans="2:7">
      <c r="B50" t="s">
        <v>439</v>
      </c>
      <c r="C50">
        <v>9400</v>
      </c>
      <c r="D50" t="s">
        <v>470</v>
      </c>
      <c r="E50" t="s">
        <v>432</v>
      </c>
    </row>
    <row r="51" spans="2:7">
      <c r="B51" t="s">
        <v>440</v>
      </c>
      <c r="C51">
        <v>5000</v>
      </c>
      <c r="D51" t="s">
        <v>471</v>
      </c>
      <c r="E51" t="s">
        <v>437</v>
      </c>
    </row>
    <row r="54" spans="2:7">
      <c r="B54" t="s">
        <v>441</v>
      </c>
      <c r="C54">
        <v>230</v>
      </c>
      <c r="D54" t="s">
        <v>442</v>
      </c>
      <c r="E54" t="s">
        <v>467</v>
      </c>
      <c r="F54" t="s">
        <v>468</v>
      </c>
      <c r="G54" s="112" t="s">
        <v>469</v>
      </c>
    </row>
    <row r="55" spans="2:7">
      <c r="B55" t="s">
        <v>438</v>
      </c>
      <c r="C55">
        <v>2.5</v>
      </c>
      <c r="D55" t="s">
        <v>299</v>
      </c>
    </row>
    <row r="56" spans="2:7">
      <c r="B56" t="s">
        <v>449</v>
      </c>
      <c r="C56">
        <f>C54*C55</f>
        <v>575</v>
      </c>
      <c r="D56" t="s">
        <v>450</v>
      </c>
    </row>
    <row r="57" spans="2:7">
      <c r="B57" t="s">
        <v>443</v>
      </c>
      <c r="C57">
        <v>12</v>
      </c>
      <c r="D57" t="s">
        <v>444</v>
      </c>
      <c r="F57" t="s">
        <v>459</v>
      </c>
      <c r="G57" s="112" t="s">
        <v>466</v>
      </c>
    </row>
    <row r="58" spans="2:7">
      <c r="B58" t="s">
        <v>445</v>
      </c>
      <c r="C58" s="120">
        <f>C56/C57/60</f>
        <v>0.79861111111111105</v>
      </c>
      <c r="D58" t="s">
        <v>451</v>
      </c>
    </row>
    <row r="59" spans="2:7">
      <c r="B59" t="s">
        <v>446</v>
      </c>
      <c r="C59">
        <v>400</v>
      </c>
      <c r="D59" t="s">
        <v>447</v>
      </c>
      <c r="F59" t="s">
        <v>460</v>
      </c>
      <c r="G59" s="112" t="s">
        <v>465</v>
      </c>
    </row>
    <row r="60" spans="2:7">
      <c r="B60" t="s">
        <v>448</v>
      </c>
      <c r="C60">
        <v>500</v>
      </c>
      <c r="D60" t="s">
        <v>447</v>
      </c>
      <c r="F60" t="s">
        <v>461</v>
      </c>
    </row>
    <row r="61" spans="2:7">
      <c r="B61" t="s">
        <v>452</v>
      </c>
      <c r="C61" s="120">
        <f>C60*C58/1000</f>
        <v>0.39930555555555552</v>
      </c>
      <c r="D61" t="s">
        <v>455</v>
      </c>
    </row>
    <row r="62" spans="2:7">
      <c r="B62" t="s">
        <v>453</v>
      </c>
      <c r="C62" s="121">
        <f>365*C61</f>
        <v>145.74652777777777</v>
      </c>
      <c r="D62" t="s">
        <v>454</v>
      </c>
    </row>
    <row r="63" spans="2:7">
      <c r="B63" t="s">
        <v>462</v>
      </c>
      <c r="C63">
        <v>34</v>
      </c>
      <c r="D63" t="s">
        <v>456</v>
      </c>
      <c r="E63" t="s">
        <v>458</v>
      </c>
      <c r="F63" t="s">
        <v>463</v>
      </c>
      <c r="G63" s="112" t="s">
        <v>464</v>
      </c>
    </row>
    <row r="64" spans="2:7">
      <c r="B64" t="s">
        <v>457</v>
      </c>
      <c r="C64">
        <f>C62*C63</f>
        <v>4955.3819444444443</v>
      </c>
      <c r="D64" t="s">
        <v>87</v>
      </c>
    </row>
    <row r="102" spans="1:10">
      <c r="B102" s="14"/>
      <c r="C102" s="14"/>
    </row>
    <row r="110" spans="1:10">
      <c r="A110" s="14"/>
      <c r="H110" s="14"/>
      <c r="I110" s="14"/>
      <c r="J110" s="15"/>
    </row>
  </sheetData>
  <mergeCells count="4">
    <mergeCell ref="C9:G10"/>
    <mergeCell ref="C16:G17"/>
    <mergeCell ref="C25:G26"/>
    <mergeCell ref="C31:G32"/>
  </mergeCells>
  <phoneticPr fontId="1"/>
  <hyperlinks>
    <hyperlink ref="G63" r:id="rId1" xr:uid="{941CE0BA-89D9-4EB4-84AA-4C6BBBD9F788}"/>
    <hyperlink ref="G59" r:id="rId2" xr:uid="{A1C1E364-36A5-4CAC-9EE8-72EBC6665E94}"/>
    <hyperlink ref="G57" r:id="rId3" location="1" xr:uid="{141602D7-AFA6-4B55-A5DA-04F27F8C2607}"/>
    <hyperlink ref="G54" r:id="rId4" xr:uid="{E4FB284F-4CE3-499B-9E69-EFEFFD1F41CB}"/>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F43D-E7EB-4249-BD2A-1F49B6E63AE2}">
  <sheetPr codeName="Sheet10"/>
  <dimension ref="A1:E28"/>
  <sheetViews>
    <sheetView topLeftCell="A7" workbookViewId="0">
      <selection activeCell="E86" sqref="E86"/>
    </sheetView>
  </sheetViews>
  <sheetFormatPr defaultRowHeight="18.75"/>
  <cols>
    <col min="1" max="1" width="5.25" customWidth="1"/>
    <col min="2" max="2" width="5.625" customWidth="1"/>
    <col min="3" max="3" width="12.875" customWidth="1"/>
    <col min="4" max="4" width="71.875" customWidth="1"/>
  </cols>
  <sheetData>
    <row r="1" spans="1:5">
      <c r="A1" t="s">
        <v>643</v>
      </c>
    </row>
    <row r="3" spans="1:5">
      <c r="A3" s="14" t="s">
        <v>648</v>
      </c>
      <c r="B3" s="19" t="s">
        <v>195</v>
      </c>
      <c r="C3" s="19" t="s">
        <v>199</v>
      </c>
      <c r="D3" s="19" t="s">
        <v>279</v>
      </c>
      <c r="E3" s="19" t="s">
        <v>496</v>
      </c>
    </row>
    <row r="4" spans="1:5">
      <c r="B4" s="35">
        <v>1</v>
      </c>
      <c r="C4" s="34">
        <v>45492</v>
      </c>
      <c r="D4" t="s">
        <v>196</v>
      </c>
    </row>
    <row r="5" spans="1:5" ht="75">
      <c r="B5" s="35">
        <v>1.1000000000000001</v>
      </c>
      <c r="C5" s="34">
        <v>45519</v>
      </c>
      <c r="D5" s="36" t="s">
        <v>409</v>
      </c>
    </row>
    <row r="6" spans="1:5" ht="37.5">
      <c r="B6" s="35">
        <v>1.2</v>
      </c>
      <c r="C6" s="34">
        <v>45519</v>
      </c>
      <c r="D6" s="36" t="s">
        <v>410</v>
      </c>
    </row>
    <row r="7" spans="1:5">
      <c r="B7" s="35">
        <v>1.3</v>
      </c>
      <c r="C7" s="34">
        <v>45567</v>
      </c>
      <c r="D7" s="36" t="s">
        <v>298</v>
      </c>
    </row>
    <row r="8" spans="1:5">
      <c r="B8" s="35">
        <v>1.4</v>
      </c>
      <c r="C8" s="34">
        <v>45574</v>
      </c>
      <c r="D8" s="36" t="s">
        <v>297</v>
      </c>
    </row>
    <row r="9" spans="1:5">
      <c r="B9" s="35">
        <v>1.5</v>
      </c>
      <c r="C9" s="34">
        <v>45597</v>
      </c>
      <c r="D9" s="36" t="s">
        <v>296</v>
      </c>
    </row>
    <row r="10" spans="1:5" ht="93.75">
      <c r="B10" s="35">
        <v>1.6</v>
      </c>
      <c r="C10" s="34">
        <v>45624</v>
      </c>
      <c r="D10" s="36" t="s">
        <v>406</v>
      </c>
    </row>
    <row r="11" spans="1:5" ht="93.75">
      <c r="B11">
        <v>1.7</v>
      </c>
      <c r="C11" s="34">
        <v>45686</v>
      </c>
      <c r="D11" s="36" t="s">
        <v>569</v>
      </c>
    </row>
    <row r="12" spans="1:5" ht="56.25">
      <c r="B12" s="35">
        <v>1.7</v>
      </c>
      <c r="C12" s="34">
        <v>45688</v>
      </c>
      <c r="D12" s="36" t="s">
        <v>568</v>
      </c>
    </row>
    <row r="13" spans="1:5" ht="93.75">
      <c r="A13" t="s">
        <v>114</v>
      </c>
      <c r="B13" s="35">
        <v>1.8</v>
      </c>
      <c r="C13" s="34">
        <v>45692</v>
      </c>
      <c r="D13" s="36" t="s">
        <v>644</v>
      </c>
    </row>
    <row r="14" spans="1:5">
      <c r="B14" s="35"/>
      <c r="C14" s="34"/>
      <c r="D14" s="36"/>
    </row>
    <row r="15" spans="1:5">
      <c r="B15" s="35"/>
      <c r="C15" s="34"/>
      <c r="D15" s="36"/>
    </row>
    <row r="16" spans="1:5">
      <c r="B16" s="35"/>
      <c r="C16" s="34"/>
      <c r="D16" s="36"/>
    </row>
    <row r="17" spans="1:4">
      <c r="B17" s="35"/>
      <c r="C17" s="34"/>
      <c r="D17" s="36"/>
    </row>
    <row r="18" spans="1:4">
      <c r="B18" s="35"/>
      <c r="C18" s="34"/>
      <c r="D18" s="36"/>
    </row>
    <row r="19" spans="1:4">
      <c r="B19" s="35"/>
      <c r="C19" s="34"/>
      <c r="D19" s="36"/>
    </row>
    <row r="20" spans="1:4">
      <c r="B20" s="35"/>
      <c r="C20" s="34"/>
      <c r="D20" s="36"/>
    </row>
    <row r="21" spans="1:4">
      <c r="B21" s="35"/>
      <c r="C21" s="34"/>
      <c r="D21" s="36"/>
    </row>
    <row r="22" spans="1:4">
      <c r="B22" s="35"/>
      <c r="C22" s="34"/>
      <c r="D22" s="36"/>
    </row>
    <row r="23" spans="1:4">
      <c r="B23" s="35"/>
      <c r="C23" s="34"/>
      <c r="D23" s="36"/>
    </row>
    <row r="24" spans="1:4">
      <c r="B24" s="35"/>
      <c r="C24" s="34"/>
      <c r="D24" s="36"/>
    </row>
    <row r="25" spans="1:4">
      <c r="A25" s="14"/>
      <c r="B25" s="179"/>
      <c r="C25" s="180"/>
      <c r="D25" s="33"/>
    </row>
    <row r="27" spans="1:4">
      <c r="A27" t="s">
        <v>407</v>
      </c>
    </row>
    <row r="28" spans="1:4" ht="112.5">
      <c r="D28" s="36" t="s">
        <v>408</v>
      </c>
    </row>
  </sheetData>
  <phoneticPr fontId="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A860-83E9-4329-AF74-66F858F3B01F}">
  <sheetPr codeName="Sheet3">
    <tabColor theme="9" tint="0.79998168889431442"/>
  </sheetPr>
  <dimension ref="A1:S34"/>
  <sheetViews>
    <sheetView zoomScale="70" zoomScaleNormal="70" zoomScaleSheetLayoutView="70" workbookViewId="0">
      <selection activeCell="Q13" sqref="Q13"/>
    </sheetView>
  </sheetViews>
  <sheetFormatPr defaultRowHeight="18.75"/>
  <cols>
    <col min="1" max="1" width="2" customWidth="1"/>
    <col min="2" max="2" width="3.75" customWidth="1"/>
    <col min="3" max="4" width="16.125" customWidth="1"/>
    <col min="5" max="6" width="7.5" customWidth="1"/>
    <col min="7" max="8" width="16.125" customWidth="1"/>
    <col min="9" max="9" width="7.5" customWidth="1"/>
    <col min="10" max="11" width="16" customWidth="1"/>
    <col min="12" max="12" width="7.5" customWidth="1"/>
    <col min="13" max="14" width="16.125" customWidth="1"/>
    <col min="15" max="15" width="5.625" customWidth="1"/>
    <col min="16" max="16" width="10" customWidth="1"/>
    <col min="18" max="18" width="31.125" customWidth="1"/>
    <col min="20" max="20" width="32" customWidth="1"/>
    <col min="24" max="24" width="31.875" customWidth="1"/>
  </cols>
  <sheetData>
    <row r="1" spans="1:19">
      <c r="A1" s="156"/>
      <c r="B1" s="157" t="s">
        <v>397</v>
      </c>
      <c r="C1" s="156"/>
      <c r="D1" s="156"/>
      <c r="E1" s="156"/>
      <c r="F1" s="156"/>
      <c r="G1" s="156"/>
      <c r="H1" s="156"/>
      <c r="I1" s="156"/>
      <c r="J1" s="156"/>
      <c r="K1" s="156"/>
      <c r="L1" s="156"/>
      <c r="M1" s="156"/>
      <c r="N1" s="156"/>
      <c r="O1" s="156"/>
    </row>
    <row r="2" spans="1:19">
      <c r="A2" s="156"/>
      <c r="B2" s="157" t="s">
        <v>485</v>
      </c>
      <c r="C2" s="156"/>
      <c r="D2" s="156"/>
      <c r="E2" s="156"/>
      <c r="F2" s="156"/>
      <c r="G2" s="156"/>
      <c r="H2" s="156"/>
      <c r="I2" s="156"/>
      <c r="J2" s="156"/>
      <c r="K2" s="156"/>
      <c r="L2" s="156"/>
      <c r="M2" s="156"/>
      <c r="N2" s="156"/>
      <c r="O2" s="156"/>
    </row>
    <row r="3" spans="1:19">
      <c r="A3" s="156"/>
      <c r="B3" s="157"/>
      <c r="C3" s="156"/>
      <c r="D3" s="156"/>
      <c r="E3" s="156"/>
      <c r="F3" s="156"/>
      <c r="G3" s="156"/>
      <c r="H3" s="156"/>
      <c r="I3" s="156"/>
      <c r="J3" s="156"/>
      <c r="K3" s="156"/>
      <c r="L3" s="156"/>
      <c r="M3" s="156"/>
      <c r="N3" s="156"/>
      <c r="O3" s="156"/>
    </row>
    <row r="4" spans="1:19" ht="60" customHeight="1">
      <c r="A4" s="156"/>
      <c r="B4" s="156"/>
      <c r="C4" s="193" t="s">
        <v>624</v>
      </c>
      <c r="D4" s="194"/>
      <c r="E4" s="156"/>
      <c r="F4" s="156"/>
      <c r="G4" s="193" t="s">
        <v>625</v>
      </c>
      <c r="H4" s="194"/>
      <c r="I4" s="158"/>
      <c r="J4" s="193" t="s">
        <v>626</v>
      </c>
      <c r="K4" s="194"/>
      <c r="L4" s="156"/>
      <c r="M4" s="193" t="s">
        <v>627</v>
      </c>
      <c r="N4" s="194"/>
      <c r="O4" s="156"/>
    </row>
    <row r="5" spans="1:19" ht="15" customHeight="1">
      <c r="A5" s="156"/>
      <c r="B5" s="156"/>
      <c r="C5" s="156"/>
      <c r="D5" s="156"/>
      <c r="E5" s="156"/>
      <c r="F5" s="156"/>
      <c r="G5" s="156"/>
      <c r="H5" s="156"/>
      <c r="I5" s="156"/>
      <c r="J5" s="156"/>
      <c r="K5" s="156"/>
      <c r="L5" s="156"/>
      <c r="M5" s="156"/>
      <c r="N5" s="156"/>
      <c r="O5" s="156"/>
    </row>
    <row r="6" spans="1:19" ht="15" customHeight="1">
      <c r="A6" s="156"/>
      <c r="B6" s="156"/>
      <c r="C6" s="156"/>
      <c r="D6" s="156"/>
      <c r="E6" s="156"/>
      <c r="F6" s="156"/>
      <c r="G6" s="156"/>
      <c r="H6" s="156"/>
      <c r="I6" s="156"/>
      <c r="J6" s="156"/>
      <c r="K6" s="156"/>
      <c r="L6" s="156"/>
      <c r="M6" s="156"/>
      <c r="N6" s="156"/>
      <c r="O6" s="156"/>
    </row>
    <row r="7" spans="1:19" ht="15" customHeight="1">
      <c r="A7" s="156"/>
      <c r="B7" s="156"/>
      <c r="C7" s="156"/>
      <c r="D7" s="156"/>
      <c r="E7" s="156"/>
      <c r="F7" s="156"/>
      <c r="G7" s="156"/>
      <c r="H7" s="156"/>
      <c r="I7" s="156"/>
      <c r="J7" s="156"/>
      <c r="K7" s="156"/>
      <c r="L7" s="156"/>
      <c r="M7" s="156"/>
      <c r="N7" s="156"/>
      <c r="O7" s="156"/>
    </row>
    <row r="8" spans="1:19" ht="15" customHeight="1">
      <c r="A8" s="156"/>
      <c r="B8" s="156"/>
      <c r="C8" s="156"/>
      <c r="D8" s="156"/>
      <c r="E8" s="156"/>
      <c r="F8" s="156"/>
      <c r="G8" s="156"/>
      <c r="H8" s="156"/>
      <c r="I8" s="156"/>
      <c r="J8" s="156"/>
      <c r="K8" s="156"/>
      <c r="L8" s="156"/>
      <c r="M8" s="156"/>
      <c r="N8" s="156"/>
      <c r="O8" s="156"/>
    </row>
    <row r="9" spans="1:19" ht="15" customHeight="1">
      <c r="A9" s="156"/>
      <c r="B9" s="156"/>
      <c r="C9" s="156"/>
      <c r="D9" s="156"/>
      <c r="E9" s="156"/>
      <c r="F9" s="156"/>
      <c r="G9" s="156"/>
      <c r="H9" s="156"/>
      <c r="I9" s="156"/>
      <c r="J9" s="156"/>
      <c r="K9" s="156"/>
      <c r="L9" s="156"/>
      <c r="M9" s="156"/>
      <c r="N9" s="156"/>
      <c r="O9" s="156"/>
    </row>
    <row r="10" spans="1:19" ht="15" customHeight="1">
      <c r="A10" s="156"/>
      <c r="B10" s="156"/>
      <c r="C10" s="156"/>
      <c r="D10" s="156"/>
      <c r="E10" s="156"/>
      <c r="F10" s="156"/>
      <c r="G10" s="156"/>
      <c r="H10" s="156"/>
      <c r="I10" s="156"/>
      <c r="J10" s="156"/>
      <c r="K10" s="156"/>
      <c r="L10" s="156"/>
      <c r="M10" s="156"/>
      <c r="N10" s="156"/>
      <c r="O10" s="156"/>
    </row>
    <row r="11" spans="1:19" ht="60" customHeight="1">
      <c r="A11" s="156"/>
      <c r="B11" s="156"/>
      <c r="C11" s="193" t="s">
        <v>606</v>
      </c>
      <c r="D11" s="195"/>
      <c r="E11" s="156"/>
      <c r="F11" s="156"/>
      <c r="G11" s="193" t="s">
        <v>607</v>
      </c>
      <c r="H11" s="195"/>
      <c r="I11" s="156"/>
      <c r="J11" s="193" t="s">
        <v>608</v>
      </c>
      <c r="K11" s="195"/>
      <c r="L11" s="156"/>
      <c r="M11" s="193" t="s">
        <v>629</v>
      </c>
      <c r="N11" s="195"/>
      <c r="O11" s="156"/>
    </row>
    <row r="12" spans="1:19">
      <c r="A12" s="156"/>
      <c r="B12" s="156"/>
      <c r="C12" s="156"/>
      <c r="D12" s="156"/>
      <c r="E12" s="156"/>
      <c r="F12" s="156"/>
      <c r="G12" s="158"/>
      <c r="H12" s="158"/>
      <c r="I12" s="156"/>
      <c r="J12" s="156"/>
      <c r="K12" s="156"/>
      <c r="L12" s="156"/>
      <c r="M12" s="158"/>
      <c r="N12" s="158"/>
      <c r="O12" s="156"/>
    </row>
    <row r="13" spans="1:19" ht="19.5" thickBot="1">
      <c r="A13" s="156"/>
      <c r="B13" s="156"/>
      <c r="C13" s="156"/>
      <c r="D13" s="156"/>
      <c r="E13" s="156"/>
      <c r="F13" s="156"/>
      <c r="G13" s="156"/>
      <c r="H13" s="156"/>
      <c r="I13" s="156"/>
      <c r="J13" s="156"/>
      <c r="K13" s="156"/>
      <c r="L13" s="156"/>
      <c r="M13" s="156"/>
      <c r="N13" s="156"/>
      <c r="O13" s="156"/>
    </row>
    <row r="14" spans="1:19" ht="18.75" customHeight="1" thickTop="1" thickBot="1">
      <c r="A14" s="156"/>
      <c r="B14" s="156"/>
      <c r="C14" s="188" t="s">
        <v>609</v>
      </c>
      <c r="D14" s="189"/>
      <c r="E14" s="159" t="s">
        <v>570</v>
      </c>
      <c r="F14" s="156"/>
      <c r="G14" s="156"/>
      <c r="H14" s="156"/>
      <c r="I14" s="156"/>
      <c r="J14" s="156"/>
      <c r="K14" s="156"/>
      <c r="L14" s="159"/>
      <c r="M14" s="156"/>
      <c r="N14" s="156"/>
      <c r="O14" s="156"/>
      <c r="S14" s="175"/>
    </row>
    <row r="15" spans="1:19" ht="18.75" customHeight="1" thickTop="1">
      <c r="A15" s="156"/>
      <c r="B15" s="156"/>
      <c r="C15" s="160"/>
      <c r="D15" s="173" t="s">
        <v>613</v>
      </c>
      <c r="E15" s="156"/>
      <c r="F15" s="156"/>
      <c r="G15" s="156"/>
      <c r="H15" s="156"/>
      <c r="I15" s="156"/>
      <c r="J15" s="156"/>
      <c r="K15" s="156"/>
      <c r="L15" s="156"/>
      <c r="M15" s="156"/>
      <c r="N15" s="156"/>
      <c r="O15" s="156"/>
      <c r="R15" s="4"/>
    </row>
    <row r="16" spans="1:19">
      <c r="A16" s="156"/>
      <c r="B16" s="156"/>
      <c r="C16" s="156"/>
      <c r="D16" s="156"/>
      <c r="E16" s="156"/>
      <c r="F16" s="156"/>
      <c r="G16" s="156"/>
      <c r="H16" s="156"/>
      <c r="I16" s="156"/>
      <c r="J16" s="156"/>
      <c r="K16" s="156"/>
      <c r="L16" s="156"/>
      <c r="M16" s="156"/>
      <c r="N16" s="156"/>
      <c r="O16" s="156"/>
    </row>
    <row r="17" spans="1:16" ht="18.75" customHeight="1">
      <c r="A17" s="156"/>
      <c r="B17" s="156"/>
      <c r="C17" s="182" t="s">
        <v>615</v>
      </c>
      <c r="D17" s="183"/>
      <c r="E17" s="156"/>
      <c r="F17" s="156"/>
      <c r="G17" s="182" t="s">
        <v>616</v>
      </c>
      <c r="H17" s="183"/>
      <c r="I17" s="156"/>
      <c r="J17" s="182" t="s">
        <v>619</v>
      </c>
      <c r="K17" s="183"/>
      <c r="L17" s="156"/>
      <c r="M17" s="182" t="s">
        <v>620</v>
      </c>
      <c r="N17" s="183"/>
      <c r="O17" s="156"/>
      <c r="P17" s="36"/>
    </row>
    <row r="18" spans="1:16" ht="18.75" customHeight="1">
      <c r="A18" s="156"/>
      <c r="B18" s="156"/>
      <c r="C18" s="184"/>
      <c r="D18" s="185"/>
      <c r="E18" s="156"/>
      <c r="F18" s="156"/>
      <c r="G18" s="184"/>
      <c r="H18" s="185"/>
      <c r="I18" s="156"/>
      <c r="J18" s="184"/>
      <c r="K18" s="185"/>
      <c r="L18" s="156"/>
      <c r="M18" s="184"/>
      <c r="N18" s="185"/>
      <c r="O18" s="156"/>
      <c r="P18" s="36"/>
    </row>
    <row r="19" spans="1:16" ht="18.75" customHeight="1">
      <c r="A19" s="156"/>
      <c r="B19" s="156"/>
      <c r="C19" s="186"/>
      <c r="D19" s="187"/>
      <c r="E19" s="156"/>
      <c r="F19" s="156"/>
      <c r="G19" s="186"/>
      <c r="H19" s="187"/>
      <c r="I19" s="156"/>
      <c r="J19" s="186"/>
      <c r="K19" s="187"/>
      <c r="L19" s="156"/>
      <c r="M19" s="186"/>
      <c r="N19" s="187"/>
      <c r="O19" s="156"/>
      <c r="P19" s="36"/>
    </row>
    <row r="20" spans="1:16" ht="18" customHeight="1">
      <c r="A20" s="156"/>
      <c r="B20" s="156"/>
      <c r="C20" s="156"/>
      <c r="D20" s="156"/>
      <c r="E20" s="156"/>
      <c r="F20" s="156"/>
      <c r="G20" s="156"/>
      <c r="H20" s="156"/>
      <c r="I20" s="156"/>
      <c r="J20" s="156"/>
      <c r="K20" s="156"/>
      <c r="L20" s="156"/>
      <c r="M20" s="156"/>
      <c r="N20" s="156"/>
      <c r="O20" s="156"/>
    </row>
    <row r="21" spans="1:16">
      <c r="A21" s="156"/>
      <c r="B21" s="156"/>
      <c r="C21" s="156"/>
      <c r="D21" s="156"/>
      <c r="E21" s="156"/>
      <c r="F21" s="156"/>
      <c r="G21" s="156"/>
      <c r="H21" s="156"/>
      <c r="I21" s="156"/>
      <c r="J21" s="156"/>
      <c r="K21" s="156"/>
      <c r="L21" s="156"/>
      <c r="M21" s="156"/>
      <c r="N21" s="156"/>
      <c r="O21" s="156"/>
    </row>
    <row r="22" spans="1:16" ht="18.75" customHeight="1">
      <c r="A22" s="156"/>
      <c r="B22" s="156"/>
      <c r="C22" s="182" t="s">
        <v>618</v>
      </c>
      <c r="D22" s="190"/>
      <c r="E22" s="183"/>
      <c r="F22" s="156"/>
      <c r="G22" s="182" t="s">
        <v>628</v>
      </c>
      <c r="H22" s="183"/>
      <c r="I22" s="156"/>
      <c r="J22" s="182" t="s">
        <v>617</v>
      </c>
      <c r="K22" s="183"/>
      <c r="L22" s="156"/>
      <c r="M22" s="156"/>
      <c r="N22" s="156"/>
      <c r="O22" s="156"/>
    </row>
    <row r="23" spans="1:16" ht="18.75" customHeight="1">
      <c r="A23" s="156"/>
      <c r="B23" s="156"/>
      <c r="C23" s="184"/>
      <c r="D23" s="191"/>
      <c r="E23" s="185"/>
      <c r="F23" s="156"/>
      <c r="G23" s="184"/>
      <c r="H23" s="185"/>
      <c r="I23" s="156"/>
      <c r="J23" s="184"/>
      <c r="K23" s="185"/>
      <c r="L23" s="156"/>
      <c r="M23" s="156"/>
      <c r="N23" s="156"/>
      <c r="O23" s="156"/>
    </row>
    <row r="24" spans="1:16">
      <c r="A24" s="156"/>
      <c r="B24" s="156"/>
      <c r="C24" s="186"/>
      <c r="D24" s="192"/>
      <c r="E24" s="187"/>
      <c r="F24" s="156"/>
      <c r="G24" s="186"/>
      <c r="H24" s="187"/>
      <c r="I24" s="156"/>
      <c r="J24" s="186"/>
      <c r="K24" s="187"/>
      <c r="L24" s="156"/>
      <c r="M24" s="156"/>
      <c r="N24" s="156"/>
      <c r="O24" s="156"/>
    </row>
    <row r="25" spans="1:16" ht="18.75" customHeight="1">
      <c r="A25" s="156"/>
      <c r="B25" s="156"/>
      <c r="C25" s="156"/>
      <c r="D25" s="156"/>
      <c r="E25" s="156"/>
      <c r="F25" s="156"/>
      <c r="G25" s="158"/>
      <c r="H25" s="158"/>
      <c r="I25" s="156"/>
      <c r="J25" s="156"/>
      <c r="K25" s="156"/>
      <c r="L25" s="156"/>
      <c r="M25" s="156"/>
      <c r="N25" s="156"/>
      <c r="O25" s="156"/>
    </row>
    <row r="26" spans="1:16" ht="19.5" thickBot="1">
      <c r="A26" s="156"/>
      <c r="B26" s="156"/>
      <c r="C26" s="156"/>
      <c r="D26" s="156"/>
      <c r="E26" s="156"/>
      <c r="F26" s="156"/>
      <c r="G26" s="172"/>
      <c r="H26" s="172"/>
      <c r="I26" s="156"/>
      <c r="J26" s="156"/>
      <c r="K26" s="156"/>
      <c r="L26" s="156"/>
      <c r="M26" s="156"/>
      <c r="N26" s="156"/>
      <c r="O26" s="156"/>
    </row>
    <row r="27" spans="1:16" ht="20.25" thickTop="1" thickBot="1">
      <c r="A27" s="156"/>
      <c r="B27" s="156"/>
      <c r="C27" s="188" t="s">
        <v>614</v>
      </c>
      <c r="D27" s="189"/>
      <c r="E27" s="159" t="s">
        <v>570</v>
      </c>
      <c r="F27" s="156"/>
      <c r="G27" s="172"/>
      <c r="H27" s="172"/>
      <c r="I27" s="156"/>
      <c r="J27" s="188" t="s">
        <v>611</v>
      </c>
      <c r="K27" s="189"/>
      <c r="L27" s="159" t="s">
        <v>570</v>
      </c>
      <c r="M27" s="156"/>
      <c r="N27" s="156"/>
      <c r="O27" s="156"/>
    </row>
    <row r="28" spans="1:16" ht="19.5" thickTop="1">
      <c r="A28" s="156"/>
      <c r="B28" s="156"/>
      <c r="C28" s="160"/>
      <c r="D28" s="173" t="s">
        <v>613</v>
      </c>
      <c r="E28" s="159" t="s">
        <v>612</v>
      </c>
      <c r="F28" s="156"/>
      <c r="G28" s="156"/>
      <c r="H28" s="156"/>
      <c r="I28" s="156"/>
      <c r="J28" s="160"/>
      <c r="K28" s="173" t="s">
        <v>613</v>
      </c>
      <c r="L28" s="159" t="s">
        <v>610</v>
      </c>
      <c r="M28" s="156"/>
      <c r="N28" s="156"/>
      <c r="O28" s="156"/>
    </row>
    <row r="29" spans="1:16">
      <c r="A29" s="156"/>
      <c r="B29" s="156"/>
      <c r="C29" s="156"/>
      <c r="D29" s="156"/>
      <c r="E29" s="156"/>
      <c r="F29" s="156"/>
      <c r="G29" s="156"/>
      <c r="H29" s="156"/>
      <c r="I29" s="156"/>
      <c r="J29" s="156"/>
      <c r="K29" s="156"/>
      <c r="L29" s="156"/>
      <c r="M29" s="156"/>
      <c r="N29" s="156"/>
      <c r="O29" s="156"/>
    </row>
    <row r="30" spans="1:16">
      <c r="A30" s="156"/>
      <c r="B30" s="156"/>
      <c r="C30" s="196" t="s">
        <v>622</v>
      </c>
      <c r="D30" s="197"/>
      <c r="E30" s="197"/>
      <c r="F30" s="197"/>
      <c r="G30" s="197"/>
      <c r="H30" s="197"/>
      <c r="I30" s="197"/>
      <c r="J30" s="197"/>
      <c r="K30" s="197"/>
      <c r="L30" s="197"/>
      <c r="M30" s="197"/>
      <c r="N30" s="198"/>
      <c r="O30" s="156"/>
    </row>
    <row r="31" spans="1:16">
      <c r="A31" s="156"/>
      <c r="B31" s="156"/>
      <c r="C31" s="156"/>
      <c r="D31" s="156"/>
      <c r="E31" s="156"/>
      <c r="F31" s="156"/>
      <c r="G31" s="156"/>
      <c r="H31" s="156"/>
      <c r="I31" s="156"/>
      <c r="J31" s="156"/>
      <c r="K31" s="156"/>
      <c r="L31" s="156"/>
      <c r="M31" s="156"/>
      <c r="N31" s="156"/>
      <c r="O31" s="156"/>
    </row>
    <row r="32" spans="1:16">
      <c r="A32" s="156"/>
      <c r="B32" s="174" t="s">
        <v>612</v>
      </c>
      <c r="C32" s="156" t="s">
        <v>605</v>
      </c>
      <c r="D32" s="156"/>
      <c r="E32" s="156"/>
      <c r="F32" s="156"/>
      <c r="G32" s="156"/>
      <c r="H32" s="156"/>
      <c r="I32" s="156"/>
      <c r="J32" s="156"/>
      <c r="K32" s="156"/>
      <c r="L32" s="156"/>
      <c r="M32" s="156"/>
      <c r="N32" s="156"/>
      <c r="O32" s="156"/>
    </row>
    <row r="33" spans="1:15">
      <c r="A33" s="156"/>
      <c r="B33" s="159" t="s">
        <v>610</v>
      </c>
      <c r="C33" s="156" t="s">
        <v>621</v>
      </c>
      <c r="D33" s="156"/>
      <c r="E33" s="156"/>
      <c r="F33" s="156"/>
      <c r="G33" s="156"/>
      <c r="H33" s="156"/>
      <c r="I33" s="156"/>
      <c r="J33" s="156"/>
      <c r="K33" s="156"/>
      <c r="L33" s="156"/>
      <c r="M33" s="156"/>
      <c r="N33" s="156"/>
      <c r="O33" s="156"/>
    </row>
    <row r="34" spans="1:15">
      <c r="A34" s="156"/>
      <c r="B34" s="159" t="s">
        <v>623</v>
      </c>
      <c r="C34" s="156" t="s">
        <v>630</v>
      </c>
      <c r="D34" s="156"/>
      <c r="E34" s="156"/>
      <c r="F34" s="156"/>
      <c r="G34" s="156"/>
      <c r="H34" s="156"/>
      <c r="I34" s="156"/>
      <c r="J34" s="156"/>
      <c r="K34" s="156"/>
      <c r="L34" s="156"/>
      <c r="M34" s="156"/>
      <c r="N34" s="156"/>
      <c r="O34" s="156"/>
    </row>
  </sheetData>
  <mergeCells count="19">
    <mergeCell ref="C30:N30"/>
    <mergeCell ref="G22:H24"/>
    <mergeCell ref="J17:K19"/>
    <mergeCell ref="J22:K24"/>
    <mergeCell ref="G4:H4"/>
    <mergeCell ref="G11:H11"/>
    <mergeCell ref="G17:H19"/>
    <mergeCell ref="J27:K27"/>
    <mergeCell ref="J11:K11"/>
    <mergeCell ref="J4:K4"/>
    <mergeCell ref="C4:D4"/>
    <mergeCell ref="C11:D11"/>
    <mergeCell ref="C14:D14"/>
    <mergeCell ref="C17:D19"/>
    <mergeCell ref="C27:D27"/>
    <mergeCell ref="C22:E24"/>
    <mergeCell ref="M4:N4"/>
    <mergeCell ref="M11:N11"/>
    <mergeCell ref="M17:N19"/>
  </mergeCells>
  <phoneticPr fontId="1"/>
  <pageMargins left="0.70866141732283472" right="0.70866141732283472" top="0.74803149606299213" bottom="0.74803149606299213" header="0.31496062992125984" footer="0.31496062992125984"/>
  <pageSetup paperSize="9" scale="70" orientation="landscape" r:id="rId1"/>
  <headerFooter>
    <oddHeader>&amp;A</oddHeader>
    <oddFooter>&amp;F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9C035-01C5-421D-8A68-99940F8A6645}">
  <sheetPr codeName="Sheet4">
    <tabColor theme="9" tint="0.79998168889431442"/>
    <pageSetUpPr fitToPage="1"/>
  </sheetPr>
  <dimension ref="A1"/>
  <sheetViews>
    <sheetView zoomScale="70" zoomScaleNormal="70" workbookViewId="0">
      <selection activeCell="AA2" sqref="AA2"/>
    </sheetView>
  </sheetViews>
  <sheetFormatPr defaultRowHeight="18.75"/>
  <cols>
    <col min="6" max="6" width="9" customWidth="1"/>
    <col min="7" max="8" width="8.875" customWidth="1"/>
    <col min="9" max="9" width="9" customWidth="1"/>
  </cols>
  <sheetData>
    <row r="1" spans="1:1">
      <c r="A1" s="106" t="s">
        <v>483</v>
      </c>
    </row>
  </sheetData>
  <phoneticPr fontId="1"/>
  <pageMargins left="0.7" right="0.7" top="0.75" bottom="0.75" header="0.3" footer="0.3"/>
  <pageSetup paperSize="8" scale="56"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D539-2C87-4A03-A4EB-33C29AB8D27F}">
  <sheetPr codeName="Sheet13">
    <tabColor theme="9" tint="0.79998168889431442"/>
  </sheetPr>
  <dimension ref="A1:H99"/>
  <sheetViews>
    <sheetView zoomScale="70" zoomScaleNormal="70" zoomScaleSheetLayoutView="40" workbookViewId="0">
      <selection activeCell="H6" sqref="H6"/>
    </sheetView>
  </sheetViews>
  <sheetFormatPr defaultRowHeight="18.75"/>
  <cols>
    <col min="1" max="3" width="6.375" customWidth="1"/>
    <col min="4" max="4" width="33.25" customWidth="1"/>
    <col min="5" max="5" width="37.375" customWidth="1"/>
    <col min="6" max="6" width="11.75" bestFit="1" customWidth="1"/>
    <col min="7" max="7" width="62.375" customWidth="1"/>
    <col min="8" max="8" width="7.625" customWidth="1"/>
  </cols>
  <sheetData>
    <row r="1" spans="1:8">
      <c r="A1" s="72" t="s">
        <v>533</v>
      </c>
      <c r="B1" s="55"/>
      <c r="C1" s="55"/>
      <c r="D1" s="55"/>
      <c r="E1" s="55"/>
      <c r="F1" s="55"/>
      <c r="G1" s="55"/>
      <c r="H1" s="55"/>
    </row>
    <row r="2" spans="1:8">
      <c r="A2" s="72"/>
      <c r="B2" s="55"/>
      <c r="C2" s="55"/>
      <c r="D2" s="55"/>
      <c r="E2" s="55"/>
      <c r="F2" s="55"/>
      <c r="G2" s="55"/>
      <c r="H2" s="55"/>
    </row>
    <row r="3" spans="1:8">
      <c r="A3" s="55"/>
      <c r="B3" s="72" t="s">
        <v>497</v>
      </c>
      <c r="C3" s="55"/>
      <c r="D3" s="55"/>
      <c r="E3" s="55"/>
      <c r="F3" s="55"/>
      <c r="G3" s="55"/>
      <c r="H3" s="55"/>
    </row>
    <row r="4" spans="1:8">
      <c r="A4" s="55"/>
      <c r="B4" s="55" t="s">
        <v>538</v>
      </c>
      <c r="C4" s="55"/>
      <c r="D4" s="55"/>
      <c r="E4" s="55"/>
      <c r="F4" s="55"/>
      <c r="G4" s="55"/>
      <c r="H4" s="55"/>
    </row>
    <row r="5" spans="1:8">
      <c r="A5" s="55"/>
      <c r="B5" s="55" t="s">
        <v>537</v>
      </c>
      <c r="C5" s="55"/>
      <c r="D5" s="55"/>
      <c r="E5" s="55"/>
      <c r="F5" s="55"/>
      <c r="G5" s="55"/>
      <c r="H5" s="55"/>
    </row>
    <row r="6" spans="1:8">
      <c r="A6" s="55"/>
      <c r="B6" s="55" t="s">
        <v>499</v>
      </c>
      <c r="C6" s="55"/>
      <c r="D6" s="55"/>
      <c r="E6" s="55"/>
      <c r="F6" s="55"/>
      <c r="G6" s="55"/>
      <c r="H6" s="55"/>
    </row>
    <row r="7" spans="1:8">
      <c r="A7" s="55"/>
      <c r="B7" s="55"/>
      <c r="C7" s="55"/>
      <c r="D7" s="55"/>
      <c r="E7" s="55"/>
      <c r="F7" s="55"/>
      <c r="G7" s="55"/>
      <c r="H7" s="55"/>
    </row>
    <row r="8" spans="1:8">
      <c r="A8" s="55"/>
      <c r="B8" s="55"/>
      <c r="C8" s="127" t="s">
        <v>501</v>
      </c>
      <c r="D8" s="56"/>
      <c r="E8" s="56"/>
      <c r="F8" s="56"/>
      <c r="G8" s="56"/>
      <c r="H8" s="55"/>
    </row>
    <row r="9" spans="1:8">
      <c r="A9" s="55"/>
      <c r="B9" s="55"/>
      <c r="C9" s="128" t="s">
        <v>495</v>
      </c>
      <c r="D9" s="128" t="s">
        <v>506</v>
      </c>
      <c r="E9" s="128" t="s">
        <v>489</v>
      </c>
      <c r="F9" s="128" t="s">
        <v>500</v>
      </c>
      <c r="G9" s="128" t="s">
        <v>496</v>
      </c>
      <c r="H9" s="55"/>
    </row>
    <row r="10" spans="1:8" ht="38.25" customHeight="1">
      <c r="A10" s="55"/>
      <c r="B10" s="55"/>
      <c r="C10" s="60">
        <v>1</v>
      </c>
      <c r="D10" s="129" t="s">
        <v>99</v>
      </c>
      <c r="E10" s="130" t="s">
        <v>513</v>
      </c>
      <c r="F10" s="131">
        <v>2150000</v>
      </c>
      <c r="G10" s="129" t="s">
        <v>509</v>
      </c>
      <c r="H10" s="55"/>
    </row>
    <row r="11" spans="1:8" ht="38.25" customHeight="1">
      <c r="A11" s="55"/>
      <c r="B11" s="55"/>
      <c r="C11" s="60">
        <v>2</v>
      </c>
      <c r="D11" s="129" t="s">
        <v>100</v>
      </c>
      <c r="E11" s="130" t="s">
        <v>513</v>
      </c>
      <c r="F11" s="131">
        <v>2650000</v>
      </c>
      <c r="G11" s="129" t="s">
        <v>510</v>
      </c>
      <c r="H11" s="55"/>
    </row>
    <row r="12" spans="1:8" ht="38.25" customHeight="1">
      <c r="A12" s="55"/>
      <c r="B12" s="55"/>
      <c r="C12" s="60">
        <v>3</v>
      </c>
      <c r="D12" s="129" t="s">
        <v>638</v>
      </c>
      <c r="E12" s="129" t="s">
        <v>522</v>
      </c>
      <c r="F12" s="131">
        <v>2500000</v>
      </c>
      <c r="G12" s="129" t="s">
        <v>502</v>
      </c>
      <c r="H12" s="55"/>
    </row>
    <row r="13" spans="1:8" ht="38.25" customHeight="1">
      <c r="A13" s="55"/>
      <c r="B13" s="55"/>
      <c r="C13" s="60">
        <v>4</v>
      </c>
      <c r="D13" s="129" t="s">
        <v>640</v>
      </c>
      <c r="E13" s="129" t="s">
        <v>642</v>
      </c>
      <c r="F13" s="131">
        <v>6250000</v>
      </c>
      <c r="G13" s="129" t="s">
        <v>503</v>
      </c>
      <c r="H13" s="55"/>
    </row>
    <row r="14" spans="1:8" ht="38.25" customHeight="1">
      <c r="A14" s="55"/>
      <c r="B14" s="55"/>
      <c r="C14" s="60">
        <v>5</v>
      </c>
      <c r="D14" s="129" t="s">
        <v>639</v>
      </c>
      <c r="E14" s="129" t="s">
        <v>523</v>
      </c>
      <c r="F14" s="131">
        <v>14600000</v>
      </c>
      <c r="G14" s="129" t="s">
        <v>504</v>
      </c>
      <c r="H14" s="55"/>
    </row>
    <row r="15" spans="1:8" ht="38.25" customHeight="1">
      <c r="A15" s="55"/>
      <c r="B15" s="55"/>
      <c r="C15" s="128">
        <v>6</v>
      </c>
      <c r="D15" s="132" t="s">
        <v>103</v>
      </c>
      <c r="E15" s="133" t="s">
        <v>512</v>
      </c>
      <c r="F15" s="134">
        <v>1500000</v>
      </c>
      <c r="G15" s="132" t="s">
        <v>505</v>
      </c>
      <c r="H15" s="55"/>
    </row>
    <row r="16" spans="1:8">
      <c r="A16" s="55"/>
      <c r="B16" s="55"/>
      <c r="C16" s="55"/>
      <c r="D16" s="55"/>
      <c r="E16" s="55"/>
      <c r="F16" s="135"/>
      <c r="G16" s="55"/>
      <c r="H16" s="55"/>
    </row>
    <row r="17" spans="1:8">
      <c r="A17" s="55"/>
      <c r="B17" s="55"/>
      <c r="C17" s="127" t="s">
        <v>508</v>
      </c>
      <c r="D17" s="56"/>
      <c r="E17" s="56"/>
      <c r="F17" s="56"/>
      <c r="G17" s="56"/>
      <c r="H17" s="55"/>
    </row>
    <row r="18" spans="1:8">
      <c r="A18" s="55"/>
      <c r="B18" s="55"/>
      <c r="C18" s="128" t="s">
        <v>495</v>
      </c>
      <c r="D18" s="128" t="s">
        <v>507</v>
      </c>
      <c r="E18" s="128" t="s">
        <v>489</v>
      </c>
      <c r="F18" s="128" t="s">
        <v>500</v>
      </c>
      <c r="G18" s="128" t="s">
        <v>496</v>
      </c>
      <c r="H18" s="55"/>
    </row>
    <row r="19" spans="1:8" ht="36.75" customHeight="1">
      <c r="A19" s="55"/>
      <c r="B19" s="55"/>
      <c r="C19" s="60">
        <v>0</v>
      </c>
      <c r="D19" s="55" t="s">
        <v>113</v>
      </c>
      <c r="E19" s="55"/>
      <c r="F19" s="131">
        <v>0</v>
      </c>
      <c r="G19" s="124" t="s">
        <v>516</v>
      </c>
      <c r="H19" s="55"/>
    </row>
    <row r="20" spans="1:8" ht="36.75" customHeight="1">
      <c r="A20" s="55"/>
      <c r="B20" s="55"/>
      <c r="C20" s="60">
        <v>1</v>
      </c>
      <c r="D20" s="55" t="s">
        <v>108</v>
      </c>
      <c r="E20" s="55" t="s">
        <v>515</v>
      </c>
      <c r="F20" s="131">
        <v>1630000</v>
      </c>
      <c r="G20" s="124" t="s">
        <v>517</v>
      </c>
      <c r="H20" s="55"/>
    </row>
    <row r="21" spans="1:8" ht="36.75" customHeight="1">
      <c r="A21" s="55"/>
      <c r="B21" s="55"/>
      <c r="C21" s="60">
        <v>2</v>
      </c>
      <c r="D21" s="55" t="s">
        <v>117</v>
      </c>
      <c r="E21" s="55" t="s">
        <v>515</v>
      </c>
      <c r="F21" s="131">
        <v>2030000</v>
      </c>
      <c r="G21" s="124" t="s">
        <v>521</v>
      </c>
      <c r="H21" s="55"/>
    </row>
    <row r="22" spans="1:8" ht="36.75" customHeight="1">
      <c r="A22" s="55"/>
      <c r="B22" s="55"/>
      <c r="C22" s="60">
        <v>3</v>
      </c>
      <c r="D22" s="55" t="s">
        <v>118</v>
      </c>
      <c r="E22" s="55" t="s">
        <v>514</v>
      </c>
      <c r="F22" s="131">
        <v>4320000</v>
      </c>
      <c r="G22" s="124" t="s">
        <v>518</v>
      </c>
      <c r="H22" s="55"/>
    </row>
    <row r="23" spans="1:8" ht="36.75" customHeight="1">
      <c r="A23" s="55"/>
      <c r="B23" s="55"/>
      <c r="C23" s="60">
        <v>4</v>
      </c>
      <c r="D23" s="55" t="s">
        <v>116</v>
      </c>
      <c r="E23" s="55"/>
      <c r="F23" s="131">
        <v>8100000</v>
      </c>
      <c r="G23" s="124" t="s">
        <v>519</v>
      </c>
      <c r="H23" s="55"/>
    </row>
    <row r="24" spans="1:8" ht="36.75" customHeight="1">
      <c r="A24" s="55"/>
      <c r="B24" s="55"/>
      <c r="C24" s="128">
        <v>5</v>
      </c>
      <c r="D24" s="56" t="s">
        <v>52</v>
      </c>
      <c r="E24" s="56"/>
      <c r="F24" s="134">
        <v>400000</v>
      </c>
      <c r="G24" s="136" t="s">
        <v>520</v>
      </c>
      <c r="H24" s="55"/>
    </row>
    <row r="25" spans="1:8">
      <c r="A25" s="55"/>
      <c r="B25" s="55"/>
      <c r="C25" s="55"/>
      <c r="D25" s="55"/>
      <c r="E25" s="55"/>
      <c r="F25" s="55"/>
      <c r="G25" s="55"/>
      <c r="H25" s="55"/>
    </row>
    <row r="26" spans="1:8">
      <c r="A26" s="55"/>
      <c r="B26" s="55"/>
      <c r="C26" s="55"/>
      <c r="D26" s="55"/>
      <c r="E26" s="55"/>
      <c r="F26" s="55"/>
      <c r="G26" s="55"/>
      <c r="H26" s="55"/>
    </row>
    <row r="27" spans="1:8">
      <c r="A27" s="55"/>
      <c r="B27" s="72" t="s">
        <v>498</v>
      </c>
      <c r="C27" s="55"/>
      <c r="D27" s="55"/>
      <c r="E27" s="55"/>
      <c r="F27" s="55"/>
      <c r="G27" s="55"/>
      <c r="H27" s="55"/>
    </row>
    <row r="28" spans="1:8">
      <c r="A28" s="55"/>
      <c r="B28" s="55" t="s">
        <v>511</v>
      </c>
      <c r="C28" s="55"/>
      <c r="D28" s="55"/>
      <c r="E28" s="55"/>
      <c r="F28" s="55"/>
      <c r="G28" s="55"/>
      <c r="H28" s="55"/>
    </row>
    <row r="29" spans="1:8">
      <c r="A29" s="55"/>
      <c r="B29" s="75" t="s">
        <v>524</v>
      </c>
      <c r="C29" s="55"/>
      <c r="D29" s="55"/>
      <c r="E29" s="55"/>
      <c r="F29" s="55"/>
      <c r="G29" s="55"/>
      <c r="H29" s="55"/>
    </row>
    <row r="30" spans="1:8">
      <c r="A30" s="55"/>
      <c r="B30" s="75" t="s">
        <v>526</v>
      </c>
      <c r="C30" s="55"/>
      <c r="D30" s="55"/>
      <c r="E30" s="55"/>
      <c r="F30" s="55"/>
      <c r="G30" s="55"/>
      <c r="H30" s="55"/>
    </row>
    <row r="31" spans="1:8">
      <c r="A31" s="55"/>
      <c r="B31" s="75"/>
      <c r="C31" s="55"/>
      <c r="D31" s="55"/>
      <c r="E31" s="55"/>
      <c r="F31" s="55"/>
      <c r="G31" s="55"/>
      <c r="H31" s="55"/>
    </row>
    <row r="32" spans="1:8">
      <c r="A32" s="55"/>
      <c r="B32" s="55"/>
      <c r="C32" s="127" t="s">
        <v>76</v>
      </c>
      <c r="D32" s="56"/>
      <c r="E32" s="56"/>
      <c r="F32" s="56"/>
      <c r="G32" s="56"/>
      <c r="H32" s="55"/>
    </row>
    <row r="33" spans="1:8">
      <c r="A33" s="55"/>
      <c r="B33" s="55"/>
      <c r="C33" s="128" t="s">
        <v>495</v>
      </c>
      <c r="D33" s="128" t="s">
        <v>525</v>
      </c>
      <c r="E33" s="128" t="s">
        <v>489</v>
      </c>
      <c r="F33" s="128" t="s">
        <v>500</v>
      </c>
      <c r="G33" s="128" t="s">
        <v>496</v>
      </c>
      <c r="H33" s="55"/>
    </row>
    <row r="34" spans="1:8">
      <c r="A34" s="55"/>
      <c r="B34" s="55"/>
      <c r="C34" s="60">
        <v>0</v>
      </c>
      <c r="D34" s="55" t="s">
        <v>95</v>
      </c>
      <c r="E34" s="55"/>
      <c r="F34" s="137">
        <v>0</v>
      </c>
      <c r="G34" s="55"/>
      <c r="H34" s="55"/>
    </row>
    <row r="35" spans="1:8">
      <c r="A35" s="55"/>
      <c r="B35" s="55"/>
      <c r="C35" s="60">
        <v>1</v>
      </c>
      <c r="D35" s="138" t="s">
        <v>88</v>
      </c>
      <c r="E35" s="55"/>
      <c r="F35" s="137">
        <v>1600000</v>
      </c>
      <c r="G35" s="55"/>
      <c r="H35" s="55"/>
    </row>
    <row r="36" spans="1:8">
      <c r="A36" s="55"/>
      <c r="B36" s="55"/>
      <c r="C36" s="128">
        <v>2</v>
      </c>
      <c r="D36" s="139" t="s">
        <v>89</v>
      </c>
      <c r="E36" s="56"/>
      <c r="F36" s="140">
        <v>2200000</v>
      </c>
      <c r="G36" s="56"/>
      <c r="H36" s="55"/>
    </row>
    <row r="37" spans="1:8">
      <c r="A37" s="55"/>
      <c r="B37" s="55"/>
      <c r="C37" s="55"/>
      <c r="D37" s="138"/>
      <c r="E37" s="55"/>
      <c r="F37" s="137"/>
      <c r="G37" s="55"/>
      <c r="H37" s="55"/>
    </row>
    <row r="38" spans="1:8">
      <c r="A38" s="55"/>
      <c r="B38" s="55"/>
      <c r="C38" s="127" t="s">
        <v>90</v>
      </c>
      <c r="D38" s="56"/>
      <c r="E38" s="56"/>
      <c r="F38" s="128"/>
      <c r="G38" s="56"/>
      <c r="H38" s="55"/>
    </row>
    <row r="39" spans="1:8">
      <c r="A39" s="55"/>
      <c r="B39" s="55"/>
      <c r="C39" s="128" t="s">
        <v>495</v>
      </c>
      <c r="D39" s="128" t="s">
        <v>525</v>
      </c>
      <c r="E39" s="128" t="s">
        <v>489</v>
      </c>
      <c r="F39" s="128" t="s">
        <v>500</v>
      </c>
      <c r="G39" s="128" t="s">
        <v>496</v>
      </c>
      <c r="H39" s="55"/>
    </row>
    <row r="40" spans="1:8">
      <c r="A40" s="55"/>
      <c r="B40" s="55"/>
      <c r="C40" s="60">
        <v>0</v>
      </c>
      <c r="D40" s="55"/>
      <c r="E40" s="55"/>
      <c r="F40" s="60">
        <v>0</v>
      </c>
      <c r="G40" s="55"/>
      <c r="H40" s="55"/>
    </row>
    <row r="41" spans="1:8">
      <c r="A41" s="55"/>
      <c r="B41" s="55"/>
      <c r="C41" s="60">
        <v>1</v>
      </c>
      <c r="D41" s="141" t="s">
        <v>91</v>
      </c>
      <c r="E41" s="55" t="s">
        <v>527</v>
      </c>
      <c r="F41" s="131">
        <v>4200000</v>
      </c>
      <c r="G41" s="55"/>
      <c r="H41" s="55"/>
    </row>
    <row r="42" spans="1:8">
      <c r="A42" s="55"/>
      <c r="B42" s="55"/>
      <c r="C42" s="128">
        <v>2</v>
      </c>
      <c r="D42" s="142" t="s">
        <v>92</v>
      </c>
      <c r="E42" s="56" t="s">
        <v>527</v>
      </c>
      <c r="F42" s="134">
        <v>5500000</v>
      </c>
      <c r="G42" s="56"/>
      <c r="H42" s="55"/>
    </row>
    <row r="43" spans="1:8">
      <c r="A43" s="55"/>
      <c r="B43" s="55"/>
      <c r="C43" s="55"/>
      <c r="D43" s="141"/>
      <c r="E43" s="55"/>
      <c r="F43" s="135"/>
      <c r="G43" s="55"/>
      <c r="H43" s="55"/>
    </row>
    <row r="44" spans="1:8">
      <c r="A44" s="55"/>
      <c r="B44" s="55"/>
      <c r="C44" s="55"/>
      <c r="D44" s="141"/>
      <c r="E44" s="55"/>
      <c r="F44" s="135"/>
      <c r="G44" s="55"/>
      <c r="H44" s="55"/>
    </row>
    <row r="45" spans="1:8">
      <c r="A45" s="72"/>
      <c r="B45" s="72" t="s">
        <v>486</v>
      </c>
      <c r="C45" s="72"/>
      <c r="D45" s="55"/>
      <c r="E45" s="55"/>
      <c r="F45" s="55"/>
      <c r="G45" s="55"/>
      <c r="H45" s="55"/>
    </row>
    <row r="46" spans="1:8">
      <c r="A46" s="55"/>
      <c r="B46" s="55" t="s">
        <v>491</v>
      </c>
      <c r="C46" s="55"/>
      <c r="D46" s="55"/>
      <c r="E46" s="55"/>
      <c r="F46" s="55"/>
      <c r="G46" s="55"/>
      <c r="H46" s="55"/>
    </row>
    <row r="47" spans="1:8" ht="18.75" customHeight="1">
      <c r="A47" s="55"/>
      <c r="B47" s="55" t="s">
        <v>492</v>
      </c>
      <c r="C47" s="55"/>
      <c r="D47" s="55"/>
      <c r="E47" s="55"/>
      <c r="F47" s="55"/>
      <c r="G47" s="55"/>
      <c r="H47" s="55"/>
    </row>
    <row r="48" spans="1:8" ht="18.75" customHeight="1">
      <c r="A48" s="55"/>
      <c r="B48" s="55" t="s">
        <v>493</v>
      </c>
      <c r="C48" s="55"/>
      <c r="D48" s="55"/>
      <c r="E48" s="55"/>
      <c r="F48" s="55"/>
      <c r="G48" s="55"/>
      <c r="H48" s="55"/>
    </row>
    <row r="49" spans="1:8" ht="18.75" customHeight="1">
      <c r="A49" s="55"/>
      <c r="B49" s="55" t="s">
        <v>529</v>
      </c>
      <c r="C49" s="55"/>
      <c r="D49" s="55"/>
      <c r="E49" s="55"/>
      <c r="F49" s="55"/>
      <c r="G49" s="55"/>
      <c r="H49" s="55"/>
    </row>
    <row r="50" spans="1:8" ht="18.75" customHeight="1">
      <c r="A50" s="55"/>
      <c r="B50" s="55" t="s">
        <v>494</v>
      </c>
      <c r="C50" s="55"/>
      <c r="D50" s="55"/>
      <c r="E50" s="55"/>
      <c r="F50" s="55"/>
      <c r="G50" s="55"/>
      <c r="H50" s="55"/>
    </row>
    <row r="51" spans="1:8" ht="18.75" customHeight="1">
      <c r="A51" s="55"/>
      <c r="B51" s="55" t="s">
        <v>528</v>
      </c>
      <c r="C51" s="55"/>
      <c r="D51" s="55"/>
      <c r="E51" s="55"/>
      <c r="F51" s="55"/>
      <c r="G51" s="55"/>
      <c r="H51" s="55"/>
    </row>
    <row r="52" spans="1:8" ht="18.75" customHeight="1">
      <c r="A52" s="55"/>
      <c r="B52" s="143"/>
      <c r="C52" s="143"/>
      <c r="D52" s="55"/>
      <c r="E52" s="55"/>
      <c r="F52" s="55"/>
      <c r="G52" s="55"/>
      <c r="H52" s="55"/>
    </row>
    <row r="53" spans="1:8" ht="18.75" customHeight="1">
      <c r="A53" s="55"/>
      <c r="B53" s="55"/>
      <c r="C53" s="127" t="s">
        <v>488</v>
      </c>
      <c r="D53" s="56"/>
      <c r="E53" s="56"/>
      <c r="F53" s="56"/>
      <c r="G53" s="56"/>
      <c r="H53" s="55"/>
    </row>
    <row r="54" spans="1:8">
      <c r="A54" s="55"/>
      <c r="B54" s="55"/>
      <c r="C54" s="128" t="s">
        <v>495</v>
      </c>
      <c r="D54" s="128" t="s">
        <v>487</v>
      </c>
      <c r="E54" s="128" t="s">
        <v>489</v>
      </c>
      <c r="F54" s="128" t="s">
        <v>490</v>
      </c>
      <c r="G54" s="128" t="s">
        <v>496</v>
      </c>
      <c r="H54" s="55"/>
    </row>
    <row r="55" spans="1:8">
      <c r="A55" s="55"/>
      <c r="B55" s="55"/>
      <c r="C55" s="60">
        <v>1</v>
      </c>
      <c r="D55" s="144" t="s">
        <v>560</v>
      </c>
      <c r="E55" s="144" t="s">
        <v>205</v>
      </c>
      <c r="F55" s="145">
        <v>10000</v>
      </c>
      <c r="G55" s="60"/>
      <c r="H55" s="55"/>
    </row>
    <row r="56" spans="1:8">
      <c r="A56" s="55"/>
      <c r="B56" s="55"/>
      <c r="C56" s="60">
        <v>2</v>
      </c>
      <c r="D56" s="144" t="s">
        <v>561</v>
      </c>
      <c r="E56" s="144" t="s">
        <v>206</v>
      </c>
      <c r="F56" s="145">
        <v>12000</v>
      </c>
      <c r="G56" s="60"/>
      <c r="H56" s="55"/>
    </row>
    <row r="57" spans="1:8">
      <c r="A57" s="55"/>
      <c r="B57" s="55"/>
      <c r="C57" s="60">
        <v>3</v>
      </c>
      <c r="D57" s="144" t="s">
        <v>562</v>
      </c>
      <c r="E57" s="144" t="s">
        <v>207</v>
      </c>
      <c r="F57" s="145">
        <v>14000</v>
      </c>
      <c r="G57" s="60"/>
      <c r="H57" s="55"/>
    </row>
    <row r="58" spans="1:8">
      <c r="A58" s="55"/>
      <c r="B58" s="55"/>
      <c r="C58" s="60">
        <v>4</v>
      </c>
      <c r="D58" s="144" t="s">
        <v>563</v>
      </c>
      <c r="E58" s="144" t="s">
        <v>208</v>
      </c>
      <c r="F58" s="145">
        <v>18000</v>
      </c>
      <c r="G58" s="60"/>
      <c r="H58" s="55"/>
    </row>
    <row r="59" spans="1:8">
      <c r="A59" s="55"/>
      <c r="B59" s="55"/>
      <c r="C59" s="60">
        <v>5</v>
      </c>
      <c r="D59" s="144" t="s">
        <v>564</v>
      </c>
      <c r="E59" s="144" t="s">
        <v>214</v>
      </c>
      <c r="F59" s="145">
        <v>12000</v>
      </c>
      <c r="G59" s="60"/>
      <c r="H59" s="55"/>
    </row>
    <row r="60" spans="1:8">
      <c r="A60" s="55"/>
      <c r="B60" s="55"/>
      <c r="C60" s="60">
        <v>6</v>
      </c>
      <c r="D60" s="144" t="s">
        <v>565</v>
      </c>
      <c r="E60" s="144" t="s">
        <v>215</v>
      </c>
      <c r="F60" s="145">
        <v>14000</v>
      </c>
      <c r="G60" s="60"/>
      <c r="H60" s="55"/>
    </row>
    <row r="61" spans="1:8">
      <c r="A61" s="55"/>
      <c r="B61" s="55"/>
      <c r="C61" s="128">
        <v>7</v>
      </c>
      <c r="D61" s="146" t="s">
        <v>566</v>
      </c>
      <c r="E61" s="146" t="s">
        <v>216</v>
      </c>
      <c r="F61" s="147">
        <v>16000</v>
      </c>
      <c r="G61" s="128"/>
      <c r="H61" s="55"/>
    </row>
    <row r="62" spans="1:8">
      <c r="A62" s="55"/>
      <c r="B62" s="55"/>
      <c r="C62" s="55"/>
      <c r="D62" s="141"/>
      <c r="E62" s="55"/>
      <c r="F62" s="135"/>
      <c r="G62" s="55"/>
      <c r="H62" s="55"/>
    </row>
    <row r="63" spans="1:8">
      <c r="A63" s="72" t="s">
        <v>534</v>
      </c>
      <c r="B63" s="55"/>
      <c r="C63" s="55"/>
      <c r="D63" s="55"/>
      <c r="E63" s="55"/>
      <c r="F63" s="55"/>
      <c r="G63" s="55"/>
      <c r="H63" s="55"/>
    </row>
    <row r="64" spans="1:8">
      <c r="A64" s="55"/>
      <c r="B64" s="55"/>
      <c r="C64" s="55"/>
      <c r="D64" s="55"/>
      <c r="E64" s="55"/>
      <c r="F64" s="55"/>
      <c r="G64" s="55"/>
      <c r="H64" s="55"/>
    </row>
    <row r="65" spans="1:8">
      <c r="A65" s="55"/>
      <c r="B65" s="72" t="s">
        <v>535</v>
      </c>
      <c r="C65" s="55"/>
      <c r="D65" s="55"/>
      <c r="E65" s="55"/>
      <c r="F65" s="55"/>
      <c r="G65" s="55"/>
      <c r="H65" s="55"/>
    </row>
    <row r="66" spans="1:8">
      <c r="A66" s="55"/>
      <c r="B66" s="55" t="s">
        <v>543</v>
      </c>
      <c r="C66" s="55"/>
      <c r="D66" s="55"/>
      <c r="E66" s="55"/>
      <c r="F66" s="55"/>
      <c r="G66" s="55"/>
      <c r="H66" s="55"/>
    </row>
    <row r="67" spans="1:8">
      <c r="A67" s="55"/>
      <c r="B67" s="55" t="s">
        <v>539</v>
      </c>
      <c r="C67" s="55"/>
      <c r="D67" s="55"/>
      <c r="E67" s="55"/>
      <c r="F67" s="55"/>
      <c r="G67" s="55"/>
      <c r="H67" s="55"/>
    </row>
    <row r="68" spans="1:8">
      <c r="A68" s="55"/>
      <c r="B68" s="55" t="s">
        <v>540</v>
      </c>
      <c r="C68" s="55"/>
      <c r="D68" s="55"/>
      <c r="E68" s="55"/>
      <c r="F68" s="55"/>
      <c r="G68" s="55"/>
      <c r="H68" s="55"/>
    </row>
    <row r="69" spans="1:8">
      <c r="A69" s="55"/>
      <c r="B69" s="55" t="s">
        <v>541</v>
      </c>
      <c r="C69" s="55"/>
      <c r="D69" s="55"/>
      <c r="E69" s="55"/>
      <c r="F69" s="55"/>
      <c r="G69" s="55"/>
      <c r="H69" s="55"/>
    </row>
    <row r="70" spans="1:8">
      <c r="A70" s="55"/>
      <c r="B70" s="126" t="s">
        <v>395</v>
      </c>
      <c r="C70" s="55"/>
      <c r="D70" s="55"/>
      <c r="E70" s="55"/>
      <c r="F70" s="55"/>
      <c r="G70" s="55"/>
      <c r="H70" s="55"/>
    </row>
    <row r="71" spans="1:8">
      <c r="A71" s="55"/>
      <c r="B71" s="55"/>
      <c r="C71" s="55"/>
      <c r="D71" s="56"/>
      <c r="E71" s="56"/>
      <c r="F71" s="55"/>
      <c r="G71" s="55"/>
      <c r="H71" s="55"/>
    </row>
    <row r="72" spans="1:8">
      <c r="A72" s="55"/>
      <c r="B72" s="55"/>
      <c r="C72" s="55"/>
      <c r="D72" s="128" t="s">
        <v>542</v>
      </c>
      <c r="E72" s="128" t="s">
        <v>4</v>
      </c>
      <c r="F72" s="55"/>
      <c r="G72" s="55"/>
      <c r="H72" s="55"/>
    </row>
    <row r="73" spans="1:8">
      <c r="A73" s="55"/>
      <c r="B73" s="55"/>
      <c r="C73" s="55"/>
      <c r="D73" s="55" t="s">
        <v>546</v>
      </c>
      <c r="E73" s="55" t="s">
        <v>33</v>
      </c>
      <c r="F73" s="55"/>
      <c r="G73" s="55"/>
      <c r="H73" s="55"/>
    </row>
    <row r="74" spans="1:8">
      <c r="A74" s="55"/>
      <c r="B74" s="55"/>
      <c r="C74" s="55"/>
      <c r="D74" s="55" t="s">
        <v>174</v>
      </c>
      <c r="E74" s="55" t="s">
        <v>26</v>
      </c>
      <c r="F74" s="55"/>
      <c r="G74" s="55"/>
      <c r="H74" s="55"/>
    </row>
    <row r="75" spans="1:8">
      <c r="A75" s="55"/>
      <c r="B75" s="55"/>
      <c r="C75" s="55"/>
      <c r="D75" s="55" t="s">
        <v>544</v>
      </c>
      <c r="E75" s="55" t="s">
        <v>30</v>
      </c>
      <c r="F75" s="55"/>
      <c r="G75" s="55"/>
      <c r="H75" s="55"/>
    </row>
    <row r="76" spans="1:8">
      <c r="A76" s="55"/>
      <c r="B76" s="55"/>
      <c r="C76" s="55"/>
      <c r="D76" s="56" t="s">
        <v>545</v>
      </c>
      <c r="E76" s="56" t="s">
        <v>28</v>
      </c>
      <c r="F76" s="55"/>
      <c r="G76" s="55"/>
      <c r="H76" s="55"/>
    </row>
    <row r="77" spans="1:8">
      <c r="A77" s="55"/>
      <c r="B77" s="55"/>
      <c r="C77" s="55"/>
      <c r="D77" s="55" t="s">
        <v>32</v>
      </c>
      <c r="E77" s="55"/>
      <c r="F77" s="55"/>
      <c r="G77" s="55"/>
      <c r="H77" s="55"/>
    </row>
    <row r="78" spans="1:8">
      <c r="A78" s="55"/>
      <c r="B78" s="55"/>
      <c r="C78" s="55"/>
      <c r="D78" s="55"/>
      <c r="E78" s="55"/>
      <c r="F78" s="55"/>
      <c r="G78" s="55"/>
      <c r="H78" s="55"/>
    </row>
    <row r="79" spans="1:8">
      <c r="A79" s="55"/>
      <c r="B79" s="72" t="s">
        <v>536</v>
      </c>
      <c r="C79" s="55"/>
      <c r="D79" s="55"/>
      <c r="E79" s="55"/>
      <c r="F79" s="55"/>
      <c r="G79" s="55"/>
      <c r="H79" s="55"/>
    </row>
    <row r="80" spans="1:8">
      <c r="A80" s="55"/>
      <c r="B80" t="s">
        <v>547</v>
      </c>
      <c r="H80" s="55"/>
    </row>
    <row r="81" spans="1:8">
      <c r="A81" s="55"/>
      <c r="B81" s="55" t="s">
        <v>548</v>
      </c>
      <c r="C81" s="55"/>
      <c r="D81" s="55"/>
      <c r="E81" s="55"/>
      <c r="F81" s="55"/>
      <c r="G81" s="55"/>
      <c r="H81" s="55"/>
    </row>
    <row r="82" spans="1:8">
      <c r="A82" s="55"/>
      <c r="B82" s="55" t="s">
        <v>549</v>
      </c>
      <c r="C82" s="55"/>
      <c r="D82" s="55"/>
      <c r="E82" s="55"/>
      <c r="F82" s="55"/>
      <c r="G82" s="55"/>
      <c r="H82" s="55"/>
    </row>
    <row r="83" spans="1:8">
      <c r="A83" s="55"/>
      <c r="B83" s="55"/>
      <c r="C83" s="55"/>
      <c r="D83" s="56"/>
      <c r="E83" s="56"/>
      <c r="F83" s="56"/>
      <c r="G83" s="56"/>
      <c r="H83" s="55"/>
    </row>
    <row r="84" spans="1:8">
      <c r="A84" s="55"/>
      <c r="B84" s="55"/>
      <c r="C84" s="55"/>
      <c r="D84" s="128" t="s">
        <v>550</v>
      </c>
      <c r="E84" s="128" t="s">
        <v>489</v>
      </c>
      <c r="F84" s="128" t="s">
        <v>124</v>
      </c>
      <c r="G84" s="128" t="s">
        <v>496</v>
      </c>
      <c r="H84" s="55"/>
    </row>
    <row r="85" spans="1:8">
      <c r="A85" s="55"/>
      <c r="B85" s="55"/>
      <c r="C85" s="55"/>
      <c r="D85" s="60" t="s">
        <v>551</v>
      </c>
      <c r="E85" s="60"/>
      <c r="F85" s="148">
        <v>9400</v>
      </c>
      <c r="G85" s="130" t="s">
        <v>554</v>
      </c>
      <c r="H85" s="55"/>
    </row>
    <row r="86" spans="1:8">
      <c r="A86" s="55"/>
      <c r="B86" s="55"/>
      <c r="C86" s="55"/>
      <c r="D86" s="128" t="s">
        <v>552</v>
      </c>
      <c r="E86" s="128" t="s">
        <v>553</v>
      </c>
      <c r="F86" s="149">
        <v>5000</v>
      </c>
      <c r="G86" s="133" t="s">
        <v>567</v>
      </c>
      <c r="H86" s="55"/>
    </row>
    <row r="87" spans="1:8">
      <c r="A87" s="55"/>
      <c r="B87" s="55"/>
      <c r="C87" s="55"/>
      <c r="D87" s="123"/>
      <c r="E87" s="123"/>
      <c r="F87" s="123"/>
      <c r="G87" s="123"/>
      <c r="H87" s="55"/>
    </row>
    <row r="88" spans="1:8">
      <c r="A88" s="55"/>
      <c r="B88" s="55"/>
      <c r="C88" s="55"/>
      <c r="D88" s="150" t="s">
        <v>550</v>
      </c>
      <c r="E88" s="150" t="s">
        <v>556</v>
      </c>
      <c r="F88" s="150" t="s">
        <v>557</v>
      </c>
      <c r="G88" s="150" t="s">
        <v>496</v>
      </c>
      <c r="H88" s="126"/>
    </row>
    <row r="89" spans="1:8">
      <c r="A89" s="55"/>
      <c r="B89" s="55"/>
      <c r="C89" s="55"/>
      <c r="D89" s="60" t="s">
        <v>441</v>
      </c>
      <c r="E89" s="55">
        <v>230</v>
      </c>
      <c r="F89" s="60" t="s">
        <v>442</v>
      </c>
      <c r="G89" s="55" t="s">
        <v>558</v>
      </c>
      <c r="H89" s="55"/>
    </row>
    <row r="90" spans="1:8">
      <c r="A90" s="55"/>
      <c r="B90" s="55"/>
      <c r="C90" s="55"/>
      <c r="D90" s="60" t="s">
        <v>438</v>
      </c>
      <c r="E90" s="55">
        <v>2.5</v>
      </c>
      <c r="F90" s="60" t="s">
        <v>299</v>
      </c>
      <c r="G90" s="55"/>
      <c r="H90" s="55"/>
    </row>
    <row r="91" spans="1:8">
      <c r="A91" s="55"/>
      <c r="B91" s="55"/>
      <c r="C91" s="55"/>
      <c r="D91" s="60" t="s">
        <v>449</v>
      </c>
      <c r="E91" s="55">
        <f>E89*E90</f>
        <v>575</v>
      </c>
      <c r="F91" s="60" t="s">
        <v>450</v>
      </c>
      <c r="G91" s="55"/>
      <c r="H91" s="126"/>
    </row>
    <row r="92" spans="1:8">
      <c r="A92" s="55"/>
      <c r="B92" s="55"/>
      <c r="C92" s="55"/>
      <c r="D92" s="60" t="s">
        <v>443</v>
      </c>
      <c r="E92" s="55">
        <v>12</v>
      </c>
      <c r="F92" s="60" t="s">
        <v>444</v>
      </c>
      <c r="G92" s="55" t="s">
        <v>459</v>
      </c>
      <c r="H92" s="55"/>
    </row>
    <row r="93" spans="1:8">
      <c r="A93" s="55"/>
      <c r="B93" s="55"/>
      <c r="C93" s="55"/>
      <c r="D93" s="60" t="s">
        <v>445</v>
      </c>
      <c r="E93" s="151">
        <f>E91/E92/60</f>
        <v>0.79861111111111105</v>
      </c>
      <c r="F93" s="60" t="s">
        <v>451</v>
      </c>
      <c r="G93" s="55"/>
      <c r="H93" s="126"/>
    </row>
    <row r="94" spans="1:8">
      <c r="A94" s="55"/>
      <c r="B94" s="55"/>
      <c r="C94" s="55"/>
      <c r="D94" s="60" t="s">
        <v>448</v>
      </c>
      <c r="E94" s="55">
        <v>500</v>
      </c>
      <c r="F94" s="60" t="s">
        <v>447</v>
      </c>
      <c r="G94" s="55" t="s">
        <v>555</v>
      </c>
      <c r="H94" s="55"/>
    </row>
    <row r="95" spans="1:8">
      <c r="A95" s="55"/>
      <c r="B95" s="55"/>
      <c r="C95" s="55"/>
      <c r="D95" s="60" t="s">
        <v>452</v>
      </c>
      <c r="E95" s="151">
        <f>E94*E93/1000</f>
        <v>0.39930555555555552</v>
      </c>
      <c r="F95" s="60" t="s">
        <v>455</v>
      </c>
      <c r="G95" s="55"/>
      <c r="H95" s="55"/>
    </row>
    <row r="96" spans="1:8">
      <c r="A96" s="55"/>
      <c r="B96" s="55"/>
      <c r="C96" s="55"/>
      <c r="D96" s="60" t="s">
        <v>453</v>
      </c>
      <c r="E96" s="152">
        <f>365*E95</f>
        <v>145.74652777777777</v>
      </c>
      <c r="F96" s="60" t="s">
        <v>454</v>
      </c>
      <c r="G96" s="55"/>
      <c r="H96" s="55"/>
    </row>
    <row r="97" spans="1:8">
      <c r="A97" s="55"/>
      <c r="B97" s="55"/>
      <c r="C97" s="55"/>
      <c r="D97" s="60" t="s">
        <v>462</v>
      </c>
      <c r="E97" s="55">
        <v>34</v>
      </c>
      <c r="F97" s="60" t="s">
        <v>456</v>
      </c>
      <c r="G97" s="55" t="s">
        <v>559</v>
      </c>
      <c r="H97" s="126"/>
    </row>
    <row r="98" spans="1:8">
      <c r="A98" s="55"/>
      <c r="B98" s="55"/>
      <c r="C98" s="55"/>
      <c r="D98" s="128" t="s">
        <v>457</v>
      </c>
      <c r="E98" s="153">
        <f>E96*E97</f>
        <v>4955.3819444444443</v>
      </c>
      <c r="F98" s="128" t="s">
        <v>87</v>
      </c>
      <c r="G98" s="56"/>
      <c r="H98" s="55"/>
    </row>
    <row r="99" spans="1:8">
      <c r="A99" s="55"/>
      <c r="B99" s="55"/>
      <c r="C99" s="55"/>
      <c r="D99" s="55"/>
      <c r="E99" s="55"/>
      <c r="F99" s="55"/>
      <c r="G99" s="55"/>
      <c r="H99" s="55"/>
    </row>
  </sheetData>
  <phoneticPr fontId="1"/>
  <hyperlinks>
    <hyperlink ref="B70" r:id="rId1" xr:uid="{9E00980E-C4FF-4F19-8BFC-308726F99D80}"/>
  </hyperlinks>
  <pageMargins left="0.70866141732283472" right="0.70866141732283472" top="0.74803149606299213" bottom="0.74803149606299213" header="0.31496062992125984" footer="0.31496062992125984"/>
  <pageSetup paperSize="9" scale="70" orientation="landscape" r:id="rId2"/>
  <headerFooter>
    <oddHeader>&amp;A</oddHeader>
    <oddFooter>&amp;F</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DBCD-6FD2-4FE3-9E53-0A17E29CE2E8}">
  <sheetPr codeName="Sheet1">
    <tabColor theme="7" tint="0.79998168889431442"/>
    <pageSetUpPr fitToPage="1"/>
  </sheetPr>
  <dimension ref="A1:G60"/>
  <sheetViews>
    <sheetView view="pageBreakPreview" zoomScale="70" zoomScaleNormal="70" zoomScaleSheetLayoutView="70" workbookViewId="0">
      <selection activeCell="E68" sqref="E68"/>
    </sheetView>
  </sheetViews>
  <sheetFormatPr defaultRowHeight="18.75"/>
  <cols>
    <col min="1" max="1" width="3.625" customWidth="1"/>
    <col min="2" max="2" width="25.5" bestFit="1" customWidth="1"/>
    <col min="3" max="6" width="31.25" customWidth="1"/>
    <col min="7" max="7" width="1.625" customWidth="1"/>
  </cols>
  <sheetData>
    <row r="1" spans="1:7" ht="19.5">
      <c r="A1" s="55"/>
      <c r="B1" s="181" t="s">
        <v>388</v>
      </c>
      <c r="C1" s="55"/>
      <c r="D1" s="55"/>
      <c r="E1" s="55"/>
      <c r="F1" s="57" t="str">
        <f>"Ver."&amp;VLOOKUP("〇",Version!$A$4:$B$26,2,TRUE)</f>
        <v>Ver.1.8</v>
      </c>
      <c r="G1" s="55"/>
    </row>
    <row r="2" spans="1:7">
      <c r="A2" s="55"/>
      <c r="B2" s="55" t="s">
        <v>396</v>
      </c>
      <c r="C2" s="55"/>
      <c r="D2" s="55"/>
      <c r="E2" s="55"/>
      <c r="F2" s="55"/>
      <c r="G2" s="55"/>
    </row>
    <row r="3" spans="1:7" ht="25.5">
      <c r="A3" s="55"/>
      <c r="B3" s="99"/>
      <c r="C3" s="100" t="s">
        <v>222</v>
      </c>
      <c r="D3" s="100" t="s">
        <v>219</v>
      </c>
      <c r="E3" s="100" t="s">
        <v>220</v>
      </c>
      <c r="F3" s="100" t="s">
        <v>221</v>
      </c>
      <c r="G3" s="55"/>
    </row>
    <row r="4" spans="1:7" ht="120" customHeight="1">
      <c r="A4" s="55"/>
      <c r="B4" s="113" t="s">
        <v>415</v>
      </c>
      <c r="C4" s="154" t="s">
        <v>387</v>
      </c>
      <c r="D4" s="154" t="s">
        <v>386</v>
      </c>
      <c r="E4" s="154" t="s">
        <v>383</v>
      </c>
      <c r="F4" s="154" t="s">
        <v>384</v>
      </c>
      <c r="G4" s="55"/>
    </row>
    <row r="5" spans="1:7" ht="30" customHeight="1">
      <c r="A5" s="55"/>
      <c r="B5" s="102" t="s">
        <v>382</v>
      </c>
      <c r="C5" s="103"/>
      <c r="D5" s="110" t="str">
        <f>IF(シナリオ1!$C$7=TRUE,シナリオ1!$Q5,"")</f>
        <v>単独</v>
      </c>
      <c r="E5" s="110" t="str">
        <f>IF(シナリオ2!$C$7=TRUE,シナリオ2!$Q5,"")</f>
        <v>他水道へ接続</v>
      </c>
      <c r="F5" s="110" t="str">
        <f>IF(シナリオ3!$C$7=TRUE,シナリオ3!$Q5,"")</f>
        <v>分散型井戸への転換</v>
      </c>
      <c r="G5" s="55"/>
    </row>
    <row r="6" spans="1:7" ht="30" customHeight="1">
      <c r="A6" s="55"/>
      <c r="B6" s="102" t="s">
        <v>175</v>
      </c>
      <c r="C6" s="102" t="str">
        <f>IF(シナリオ1!$C$6=TRUE,シナリオ1!$E$23,"")</f>
        <v>その他</v>
      </c>
      <c r="D6" s="110" t="str">
        <f>IF(シナリオ1!$C$7=TRUE,シナリオ1!$Q6,"")</f>
        <v>その他（地域自律管理型）</v>
      </c>
      <c r="E6" s="110" t="str">
        <f>IF(シナリオ2!$C$7=TRUE,シナリオ2!$Q6,"")</f>
        <v>簡易水道</v>
      </c>
      <c r="F6" s="110" t="str">
        <f>IF(シナリオ3!$C$7=TRUE,シナリオ3!$Q6,"")</f>
        <v>飲用井戸</v>
      </c>
      <c r="G6" s="55"/>
    </row>
    <row r="7" spans="1:7" ht="30" customHeight="1">
      <c r="A7" s="55"/>
      <c r="B7" s="102" t="s">
        <v>311</v>
      </c>
      <c r="C7" s="104"/>
      <c r="D7" s="111">
        <f>IF(シナリオ1!$C$7=TRUE,シナリオ1!$Q7,"")</f>
        <v>44880</v>
      </c>
      <c r="E7" s="111">
        <f>IF(シナリオ2!$C$7=TRUE,シナリオ2!$Q7,"")</f>
        <v>66600</v>
      </c>
      <c r="F7" s="111">
        <f>IF(シナリオ3!$C$7=TRUE,シナリオ3!$Q7,"")</f>
        <v>50850</v>
      </c>
      <c r="G7" s="55"/>
    </row>
    <row r="8" spans="1:7" ht="39">
      <c r="A8" s="55"/>
      <c r="B8" s="114" t="s">
        <v>413</v>
      </c>
      <c r="C8" s="105">
        <f>IF(シナリオ1!$C$6=TRUE,シナリオ1!$AH$59,"")</f>
        <v>2019.8859732041299</v>
      </c>
      <c r="D8" s="111">
        <f>IF(シナリオ1!$C$7=TRUE,シナリオ1!$Q8,"")</f>
        <v>1497.4581203876673</v>
      </c>
      <c r="E8" s="111">
        <f>IF(シナリオ2!$C$7=TRUE,シナリオ2!$Q8,"")</f>
        <v>36382.654631738886</v>
      </c>
      <c r="F8" s="111">
        <f>IF(シナリオ3!$C$7=TRUE,シナリオ3!$Q8,"")</f>
        <v>139.6</v>
      </c>
      <c r="G8" s="55"/>
    </row>
    <row r="9" spans="1:7" ht="39">
      <c r="A9" s="55"/>
      <c r="B9" s="114" t="s">
        <v>414</v>
      </c>
      <c r="C9" s="105">
        <f>IF(シナリオ1!$C$6=TRUE,シナリオ1!$AH$59,"")</f>
        <v>2019.8859732041299</v>
      </c>
      <c r="D9" s="111">
        <f>IF(シナリオ1!$C$7=TRUE,シナリオ1!$Q9,"")</f>
        <v>1497.4581203876673</v>
      </c>
      <c r="E9" s="111">
        <f>IF(シナリオ2!$C$7=TRUE,シナリオ2!$Q9,"")</f>
        <v>4042.5171813043207</v>
      </c>
      <c r="F9" s="111">
        <f>IF(シナリオ3!$C$7=TRUE,シナリオ3!$Q9,"")</f>
        <v>139.6</v>
      </c>
      <c r="G9" s="55"/>
    </row>
    <row r="10" spans="1:7" ht="315" customHeight="1">
      <c r="A10" s="55"/>
      <c r="B10" s="101" t="s">
        <v>385</v>
      </c>
      <c r="C10" s="107" t="str">
        <f>IF(シナリオ1!$C$6=TRUE,_xlfn.TEXTJOIN(CHAR(10),TRUE,シナリオ1!$E$100:$E$101),"")</f>
        <v>・各家庭に設置する井戸は，原則として個人所有の飲用井戸として扱われます．飲用井戸の基準等については，自治体および近隣の保健所にお問い合わせください．
・初期コストは，当該地域全体における井戸設置費用の合計を算出しています．個別の井戸設置費用は掘削条件等により異なります．</v>
      </c>
      <c r="D10" s="107" t="str">
        <f>IF(シナリオ1!$C$7=TRUE,シナリオ1!$Q11,"")</f>
        <v>・市町村と地域の協力体制や地域高校等との連携については，実践ガイドを参照してください．
・年間コストには，役員報酬が含まれていません．なお，水質検査費用は含まれているので，市町村から助成が受けられる場合はその分を差し引いてください．
・維持管理を地域で実施する場合は，市町村の助成制度を使える可能性があるので確認してください．
・維持管理を委託に変更する場合は，契約形態について実践ガイドの事例等を参考にしてください．
・表流水を水源にする場合は，当該河川の水利権を確認してください．</v>
      </c>
      <c r="E10" s="107" t="str">
        <f>IF(シナリオ2!$C$7=TRUE,シナリオ2!$Q11,"")</f>
        <v>・年間コスト（当該地域）は，事業全体の年間コストのうち，当該地域分の年間コストを表しています．接続あるいは経営統合した水道事業全体の給水人口に対する当該地域の給水人口比から算出しています．
・接続あるいは経営統合先の事業認可が変更になる可能性があるため，確認が必要です．</v>
      </c>
      <c r="F10" s="107" t="str">
        <f>IF(シナリオ3!$C$7=TRUE,シナリオ3!$Q11,"")</f>
        <v>・各家庭に設置する井戸は，原則として個人所有の飲用井戸として扱われます．飲用井戸の基準等については，自治体および近隣の保健所にお問い合わせください．
・初期コストは，当該地域全体における井戸設置費用の合計を算出しています．個別の井戸設置費用は掘削条件等により異なります．
・年間コストは，主に井戸ポンプの電気代と水質検査費用です．電気代は，標準的なポンプ仕様や水の使用量の場合を想定して算出し，当該地域分を合算して表示しています．</v>
      </c>
      <c r="G10" s="55"/>
    </row>
    <row r="11" spans="1:7" hidden="1">
      <c r="A11" s="39"/>
      <c r="B11" s="39"/>
      <c r="C11" s="39"/>
      <c r="D11" s="39"/>
      <c r="E11" s="39"/>
      <c r="F11" s="39"/>
      <c r="G11" s="39"/>
    </row>
    <row r="12" spans="1:7" hidden="1">
      <c r="A12" s="39"/>
      <c r="B12" s="39"/>
      <c r="C12" s="39"/>
      <c r="D12" s="39"/>
      <c r="E12" s="39"/>
      <c r="F12" s="39"/>
      <c r="G12" s="39"/>
    </row>
    <row r="13" spans="1:7" hidden="1">
      <c r="A13" s="39"/>
      <c r="B13" s="39"/>
      <c r="C13" s="39"/>
      <c r="D13" s="39"/>
      <c r="E13" s="39"/>
      <c r="F13" s="39"/>
      <c r="G13" s="39"/>
    </row>
    <row r="14" spans="1:7" hidden="1">
      <c r="A14" s="39"/>
      <c r="B14" s="39"/>
      <c r="C14" s="39"/>
      <c r="D14" s="39"/>
      <c r="E14" s="39"/>
      <c r="F14" s="39"/>
      <c r="G14" s="39"/>
    </row>
    <row r="15" spans="1:7" hidden="1">
      <c r="A15" s="39"/>
      <c r="B15" s="39"/>
      <c r="C15" s="39"/>
      <c r="D15" s="39"/>
      <c r="E15" s="39"/>
      <c r="F15" s="39"/>
      <c r="G15" s="39"/>
    </row>
    <row r="16" spans="1:7" hidden="1">
      <c r="A16" s="39"/>
      <c r="B16" s="39"/>
      <c r="C16" s="39"/>
      <c r="D16" s="39"/>
      <c r="E16" s="39"/>
      <c r="F16" s="39"/>
      <c r="G16" s="39"/>
    </row>
    <row r="17" spans="1:7" hidden="1">
      <c r="A17" s="39"/>
      <c r="B17" s="39"/>
      <c r="C17" s="39"/>
      <c r="D17" s="39"/>
      <c r="E17" s="39"/>
      <c r="F17" s="39"/>
      <c r="G17" s="39"/>
    </row>
    <row r="18" spans="1:7" hidden="1">
      <c r="A18" s="39"/>
      <c r="B18" s="39"/>
      <c r="C18" s="39"/>
      <c r="D18" s="39"/>
      <c r="E18" s="39"/>
      <c r="F18" s="39"/>
      <c r="G18" s="39"/>
    </row>
    <row r="19" spans="1:7" hidden="1">
      <c r="A19" s="39"/>
      <c r="B19" s="39"/>
      <c r="C19" s="39"/>
      <c r="D19" s="39"/>
      <c r="E19" s="39"/>
      <c r="F19" s="39"/>
      <c r="G19" s="39"/>
    </row>
    <row r="20" spans="1:7" hidden="1">
      <c r="A20" s="39"/>
      <c r="B20" s="39"/>
      <c r="C20" s="39"/>
      <c r="D20" s="39"/>
      <c r="E20" s="39"/>
      <c r="F20" s="39"/>
      <c r="G20" s="39"/>
    </row>
    <row r="21" spans="1:7" hidden="1">
      <c r="A21" s="39"/>
      <c r="B21" s="39"/>
      <c r="C21" s="39"/>
      <c r="D21" s="39"/>
      <c r="E21" s="39"/>
      <c r="F21" s="39"/>
      <c r="G21" s="39"/>
    </row>
    <row r="22" spans="1:7" hidden="1">
      <c r="A22" s="39"/>
      <c r="B22" s="39"/>
      <c r="C22" s="39"/>
      <c r="D22" s="39"/>
      <c r="E22" s="39"/>
      <c r="F22" s="39"/>
      <c r="G22" s="39"/>
    </row>
    <row r="23" spans="1:7" hidden="1">
      <c r="A23" s="39"/>
      <c r="B23" s="39"/>
      <c r="C23" s="39"/>
      <c r="D23" s="39"/>
      <c r="E23" s="39"/>
      <c r="F23" s="39"/>
      <c r="G23" s="39"/>
    </row>
    <row r="24" spans="1:7" hidden="1">
      <c r="A24" s="39"/>
      <c r="B24" s="39"/>
      <c r="C24" s="39"/>
      <c r="D24" s="39"/>
      <c r="E24" s="39"/>
      <c r="F24" s="39"/>
      <c r="G24" s="39"/>
    </row>
    <row r="25" spans="1:7" hidden="1">
      <c r="A25" s="39"/>
      <c r="B25" s="39"/>
      <c r="C25" s="39"/>
      <c r="D25" s="39"/>
      <c r="E25" s="39"/>
      <c r="F25" s="39"/>
      <c r="G25" s="39"/>
    </row>
    <row r="26" spans="1:7" hidden="1">
      <c r="A26" s="39"/>
      <c r="B26" s="39"/>
      <c r="C26" s="39"/>
      <c r="D26" s="39"/>
      <c r="E26" s="39"/>
      <c r="F26" s="39"/>
      <c r="G26" s="39"/>
    </row>
    <row r="27" spans="1:7" hidden="1">
      <c r="A27" s="39"/>
      <c r="B27" s="39"/>
      <c r="C27" s="39"/>
      <c r="D27" s="39"/>
      <c r="E27" s="39"/>
      <c r="F27" s="39"/>
      <c r="G27" s="39"/>
    </row>
    <row r="28" spans="1:7" hidden="1">
      <c r="A28" s="39"/>
      <c r="B28" s="39"/>
      <c r="C28" s="39"/>
      <c r="D28" s="39"/>
      <c r="E28" s="39"/>
      <c r="F28" s="39"/>
      <c r="G28" s="39"/>
    </row>
    <row r="29" spans="1:7" hidden="1">
      <c r="A29" s="39"/>
      <c r="B29" s="39"/>
      <c r="C29" s="39"/>
      <c r="D29" s="39"/>
      <c r="E29" s="39"/>
      <c r="F29" s="39"/>
      <c r="G29" s="39"/>
    </row>
    <row r="30" spans="1:7" hidden="1">
      <c r="A30" s="39"/>
      <c r="B30" s="39"/>
      <c r="C30" s="39"/>
      <c r="D30" s="39"/>
      <c r="E30" s="39"/>
      <c r="F30" s="39"/>
      <c r="G30" s="39"/>
    </row>
    <row r="31" spans="1:7" hidden="1">
      <c r="A31" s="39"/>
      <c r="B31" s="39"/>
      <c r="C31" s="39"/>
      <c r="D31" s="39"/>
      <c r="E31" s="39"/>
      <c r="F31" s="39"/>
      <c r="G31" s="39"/>
    </row>
    <row r="32" spans="1:7" hidden="1">
      <c r="A32" s="39"/>
      <c r="B32" s="39"/>
      <c r="C32" s="39"/>
      <c r="D32" s="39"/>
      <c r="E32" s="39"/>
      <c r="F32" s="39"/>
      <c r="G32" s="39"/>
    </row>
    <row r="33" spans="1:7" hidden="1">
      <c r="A33" s="39"/>
      <c r="B33" s="39"/>
      <c r="C33" s="39"/>
      <c r="D33" s="39"/>
      <c r="E33" s="39"/>
      <c r="F33" s="39"/>
      <c r="G33" s="39"/>
    </row>
    <row r="34" spans="1:7" hidden="1">
      <c r="A34" s="39"/>
      <c r="B34" s="39"/>
      <c r="C34" s="39"/>
      <c r="D34" s="39"/>
      <c r="E34" s="39"/>
      <c r="F34" s="39"/>
      <c r="G34" s="39"/>
    </row>
    <row r="35" spans="1:7" hidden="1">
      <c r="A35" s="39"/>
      <c r="B35" s="39"/>
      <c r="C35" s="39"/>
      <c r="D35" s="39"/>
      <c r="E35" s="39"/>
      <c r="F35" s="39"/>
      <c r="G35" s="39"/>
    </row>
    <row r="36" spans="1:7" hidden="1">
      <c r="A36" s="39"/>
      <c r="B36" s="39"/>
      <c r="C36" s="39"/>
      <c r="D36" s="39"/>
      <c r="E36" s="39"/>
      <c r="F36" s="39"/>
      <c r="G36" s="39"/>
    </row>
    <row r="37" spans="1:7" hidden="1">
      <c r="A37" s="39"/>
      <c r="B37" s="39"/>
      <c r="C37" s="39"/>
      <c r="D37" s="39"/>
      <c r="E37" s="39"/>
      <c r="F37" s="39"/>
      <c r="G37" s="39"/>
    </row>
    <row r="38" spans="1:7" hidden="1">
      <c r="A38" s="39"/>
      <c r="B38" s="39"/>
      <c r="C38" s="39"/>
      <c r="D38" s="39"/>
      <c r="E38" s="39"/>
      <c r="F38" s="39"/>
      <c r="G38" s="39"/>
    </row>
    <row r="39" spans="1:7" hidden="1">
      <c r="A39" s="39"/>
      <c r="B39" s="39"/>
      <c r="C39" s="39"/>
      <c r="D39" s="39"/>
      <c r="E39" s="39"/>
      <c r="F39" s="39"/>
      <c r="G39" s="39"/>
    </row>
    <row r="40" spans="1:7" hidden="1">
      <c r="A40" s="39"/>
      <c r="B40" s="39"/>
      <c r="C40" s="39"/>
      <c r="D40" s="39"/>
      <c r="E40" s="39"/>
      <c r="F40" s="39"/>
      <c r="G40" s="39"/>
    </row>
    <row r="41" spans="1:7" hidden="1">
      <c r="A41" s="39"/>
      <c r="B41" s="39"/>
      <c r="C41" s="39"/>
      <c r="D41" s="39"/>
      <c r="E41" s="39"/>
      <c r="F41" s="39"/>
      <c r="G41" s="39"/>
    </row>
    <row r="42" spans="1:7" hidden="1">
      <c r="A42" s="39"/>
      <c r="B42" s="39"/>
      <c r="C42" s="39"/>
      <c r="D42" s="39"/>
      <c r="E42" s="39"/>
      <c r="F42" s="39"/>
      <c r="G42" s="39"/>
    </row>
    <row r="43" spans="1:7" hidden="1">
      <c r="A43" s="39"/>
      <c r="B43" s="39"/>
      <c r="C43" s="39"/>
      <c r="D43" s="39"/>
      <c r="E43" s="39"/>
      <c r="F43" s="39"/>
      <c r="G43" s="39"/>
    </row>
    <row r="44" spans="1:7" hidden="1">
      <c r="A44" s="39"/>
      <c r="B44" s="39"/>
      <c r="C44" s="39"/>
      <c r="D44" s="39"/>
      <c r="E44" s="39"/>
      <c r="F44" s="39"/>
      <c r="G44" s="39"/>
    </row>
    <row r="45" spans="1:7" hidden="1">
      <c r="A45" s="39"/>
      <c r="B45" s="39"/>
      <c r="C45" s="39"/>
      <c r="D45" s="39"/>
      <c r="E45" s="39"/>
      <c r="F45" s="39"/>
      <c r="G45" s="39"/>
    </row>
    <row r="46" spans="1:7" hidden="1">
      <c r="A46" s="39"/>
      <c r="B46" s="39"/>
      <c r="C46" s="39"/>
      <c r="D46" s="39"/>
      <c r="E46" s="39"/>
      <c r="F46" s="39"/>
      <c r="G46" s="39"/>
    </row>
    <row r="47" spans="1:7" hidden="1">
      <c r="A47" s="39"/>
      <c r="B47" s="39"/>
      <c r="C47" s="39"/>
      <c r="D47" s="39"/>
      <c r="E47" s="39"/>
      <c r="F47" s="39"/>
      <c r="G47" s="39"/>
    </row>
    <row r="48" spans="1:7" hidden="1">
      <c r="A48" s="39"/>
      <c r="B48" s="39"/>
      <c r="C48" s="39"/>
      <c r="D48" s="39"/>
      <c r="E48" s="39"/>
      <c r="F48" s="39"/>
      <c r="G48" s="39"/>
    </row>
    <row r="49" spans="1:7" hidden="1">
      <c r="A49" s="39"/>
      <c r="B49" s="39"/>
      <c r="C49" s="39"/>
      <c r="D49" s="39"/>
      <c r="E49" s="39"/>
      <c r="F49" s="39"/>
      <c r="G49" s="39"/>
    </row>
    <row r="50" spans="1:7" hidden="1">
      <c r="A50" s="39"/>
      <c r="B50" s="39"/>
      <c r="C50" s="39"/>
      <c r="D50" s="39"/>
      <c r="E50" s="39"/>
      <c r="F50" s="39"/>
      <c r="G50" s="39"/>
    </row>
    <row r="51" spans="1:7" hidden="1">
      <c r="A51" s="39"/>
      <c r="B51" s="39"/>
      <c r="C51" s="39"/>
      <c r="D51" s="39"/>
      <c r="E51" s="39"/>
      <c r="F51" s="39"/>
      <c r="G51" s="39"/>
    </row>
    <row r="52" spans="1:7" hidden="1">
      <c r="A52" s="39"/>
      <c r="B52" s="39"/>
      <c r="C52" s="39" t="s">
        <v>389</v>
      </c>
      <c r="D52" s="39" t="s">
        <v>219</v>
      </c>
      <c r="E52" s="39" t="s">
        <v>220</v>
      </c>
      <c r="F52" s="39" t="s">
        <v>221</v>
      </c>
      <c r="G52" s="39"/>
    </row>
    <row r="53" spans="1:7" hidden="1">
      <c r="A53" s="39"/>
      <c r="B53" s="39"/>
      <c r="C53" s="108" t="s">
        <v>115</v>
      </c>
      <c r="D53" s="109">
        <f>シナリオ1!$X6</f>
        <v>2650</v>
      </c>
      <c r="E53" s="109">
        <f>シナリオ2!$X6</f>
        <v>0</v>
      </c>
      <c r="F53" s="109">
        <f>シナリオ3!$X6</f>
        <v>45850</v>
      </c>
      <c r="G53" s="39"/>
    </row>
    <row r="54" spans="1:7" hidden="1">
      <c r="A54" s="39"/>
      <c r="B54" s="39"/>
      <c r="C54" s="108" t="s">
        <v>107</v>
      </c>
      <c r="D54" s="109">
        <f>シナリオ1!$X7</f>
        <v>1630</v>
      </c>
      <c r="E54" s="109">
        <f>シナリオ2!$X7</f>
        <v>0</v>
      </c>
      <c r="F54" s="109">
        <f>シナリオ3!$X7</f>
        <v>0</v>
      </c>
      <c r="G54" s="39"/>
    </row>
    <row r="55" spans="1:7" hidden="1">
      <c r="A55" s="39"/>
      <c r="B55" s="39"/>
      <c r="C55" s="108" t="s">
        <v>374</v>
      </c>
      <c r="D55" s="109">
        <f>シナリオ1!$X8</f>
        <v>10600</v>
      </c>
      <c r="E55" s="109">
        <f>シナリオ2!$X8</f>
        <v>10600</v>
      </c>
      <c r="F55" s="109">
        <f>シナリオ3!$X8</f>
        <v>0</v>
      </c>
      <c r="G55" s="39"/>
    </row>
    <row r="56" spans="1:7" hidden="1">
      <c r="A56" s="39"/>
      <c r="B56" s="39"/>
      <c r="C56" s="108" t="s">
        <v>83</v>
      </c>
      <c r="D56" s="109">
        <f>シナリオ1!$X9</f>
        <v>30000</v>
      </c>
      <c r="E56" s="109">
        <f>シナリオ2!$X9</f>
        <v>56000</v>
      </c>
      <c r="F56" s="109">
        <f>シナリオ3!$X9</f>
        <v>5000</v>
      </c>
      <c r="G56" s="39"/>
    </row>
    <row r="57" spans="1:7" hidden="1">
      <c r="A57" s="39"/>
      <c r="B57" s="39"/>
      <c r="C57" s="39"/>
      <c r="D57" s="39"/>
      <c r="E57" s="39"/>
      <c r="F57" s="39"/>
      <c r="G57" s="39"/>
    </row>
    <row r="58" spans="1:7" hidden="1"/>
    <row r="59" spans="1:7" hidden="1"/>
    <row r="60" spans="1:7" hidden="1"/>
  </sheetData>
  <sheetProtection sheet="1" objects="1" scenarios="1"/>
  <phoneticPr fontId="1"/>
  <pageMargins left="0.70866141732283472" right="0.70866141732283472" top="0.74803149606299213" bottom="0.74803149606299213" header="0.31496062992125984" footer="0.31496062992125984"/>
  <pageSetup paperSize="9" scale="74"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0E40-AE8B-4967-A8DC-9D4729E32FBF}">
  <sheetPr>
    <tabColor theme="7" tint="0.79998168889431442"/>
  </sheetPr>
  <dimension ref="A1:AK133"/>
  <sheetViews>
    <sheetView zoomScale="85" zoomScaleNormal="85" zoomScaleSheetLayoutView="40" workbookViewId="0">
      <selection activeCell="E68" sqref="E68"/>
    </sheetView>
  </sheetViews>
  <sheetFormatPr defaultColWidth="9" defaultRowHeight="18.75"/>
  <cols>
    <col min="1" max="1" width="2.625" customWidth="1"/>
    <col min="2" max="3" width="3.875" customWidth="1"/>
    <col min="4" max="4" width="18.75" customWidth="1"/>
    <col min="5" max="5" width="18.625" customWidth="1"/>
    <col min="6" max="6" width="7.5" customWidth="1"/>
    <col min="7" max="8" width="3.125" customWidth="1"/>
    <col min="9" max="9" width="18.75" customWidth="1"/>
    <col min="10" max="10" width="25" customWidth="1"/>
    <col min="11" max="11" width="7.5" customWidth="1"/>
    <col min="12" max="12" width="3.75" customWidth="1"/>
    <col min="13" max="13" width="3.875" customWidth="1"/>
    <col min="14" max="14" width="3.625" customWidth="1"/>
    <col min="15" max="15" width="3.75" customWidth="1"/>
    <col min="16" max="16" width="18.625" customWidth="1"/>
    <col min="17" max="17" width="25" customWidth="1"/>
    <col min="18" max="18" width="7.625" customWidth="1"/>
    <col min="19" max="19" width="7.5" customWidth="1"/>
    <col min="20" max="22" width="3.875" customWidth="1"/>
    <col min="23" max="24" width="18.75" customWidth="1"/>
    <col min="25" max="26" width="7.5" customWidth="1"/>
    <col min="27" max="27" width="2.375" customWidth="1"/>
    <col min="28" max="28" width="15.125" hidden="1" customWidth="1"/>
    <col min="29" max="29" width="35" hidden="1" customWidth="1"/>
    <col min="30" max="32" width="13.875" hidden="1" customWidth="1"/>
    <col min="33" max="34" width="13.75" hidden="1" customWidth="1"/>
    <col min="35" max="35" width="8.75" hidden="1" customWidth="1"/>
    <col min="36" max="36" width="6.125" hidden="1" customWidth="1"/>
    <col min="37" max="37" width="9" hidden="1" customWidth="1"/>
  </cols>
  <sheetData>
    <row r="1" spans="1:37" ht="18.75" customHeight="1">
      <c r="A1" s="55"/>
      <c r="B1" s="74" t="s">
        <v>219</v>
      </c>
      <c r="C1" s="55"/>
      <c r="D1" s="55"/>
      <c r="E1" s="55"/>
      <c r="F1" s="55"/>
      <c r="G1" s="55"/>
      <c r="H1" s="55"/>
      <c r="I1" s="55"/>
      <c r="J1" s="55"/>
      <c r="K1" s="55"/>
      <c r="L1" s="55"/>
      <c r="M1" s="55"/>
      <c r="N1" s="55"/>
      <c r="O1" s="55"/>
      <c r="P1" s="55"/>
      <c r="Q1" s="55"/>
      <c r="R1" s="55"/>
      <c r="S1" s="55"/>
      <c r="T1" s="55"/>
      <c r="U1" s="55"/>
      <c r="V1" s="55"/>
      <c r="W1" s="55"/>
      <c r="X1" s="57" t="str">
        <f>"Ver."&amp;VLOOKUP("〇",Version!$A$4:$B$26,2,TRUE)</f>
        <v>Ver.1.8</v>
      </c>
      <c r="Y1" s="55"/>
      <c r="Z1" s="55"/>
      <c r="AA1" s="218"/>
      <c r="AB1" s="66" t="s">
        <v>358</v>
      </c>
      <c r="AC1" s="39"/>
      <c r="AD1" s="39"/>
      <c r="AE1" s="39"/>
      <c r="AF1" s="39"/>
      <c r="AG1" s="39"/>
      <c r="AH1" s="39"/>
      <c r="AI1" s="41"/>
      <c r="AJ1" s="39"/>
      <c r="AK1" s="39"/>
    </row>
    <row r="2" spans="1:37" s="59" customFormat="1" ht="18.75" customHeight="1">
      <c r="A2" s="176"/>
      <c r="B2" s="72" t="s">
        <v>156</v>
      </c>
      <c r="C2" s="72"/>
      <c r="D2" s="75"/>
      <c r="E2" s="75"/>
      <c r="F2" s="75"/>
      <c r="G2" s="72" t="s">
        <v>66</v>
      </c>
      <c r="H2" s="75"/>
      <c r="I2" s="75"/>
      <c r="J2" s="75"/>
      <c r="K2" s="75"/>
      <c r="L2" s="75"/>
      <c r="M2" s="75"/>
      <c r="N2" s="75"/>
      <c r="O2" s="72" t="s">
        <v>170</v>
      </c>
      <c r="P2" s="75"/>
      <c r="Q2" s="75"/>
      <c r="R2" s="75"/>
      <c r="S2" s="75"/>
      <c r="T2" s="75"/>
      <c r="U2" s="75"/>
      <c r="V2" s="75"/>
      <c r="W2" s="75"/>
      <c r="X2" s="75"/>
      <c r="Y2" s="75"/>
      <c r="Z2" s="75"/>
      <c r="AA2" s="219"/>
      <c r="AB2" s="67"/>
      <c r="AC2" s="64"/>
      <c r="AD2" s="64"/>
      <c r="AE2" s="64"/>
      <c r="AF2" s="64"/>
      <c r="AG2" s="64"/>
      <c r="AH2" s="64"/>
      <c r="AI2" s="65"/>
      <c r="AJ2" s="64"/>
      <c r="AK2" s="64"/>
    </row>
    <row r="3" spans="1:37" s="59" customFormat="1" ht="18.75" customHeight="1">
      <c r="A3" s="176"/>
      <c r="B3" s="76" t="s">
        <v>430</v>
      </c>
      <c r="C3" s="77"/>
      <c r="D3" s="77"/>
      <c r="E3" s="77"/>
      <c r="F3" s="75"/>
      <c r="G3" s="76" t="s">
        <v>345</v>
      </c>
      <c r="H3" s="77"/>
      <c r="I3" s="77"/>
      <c r="J3" s="77"/>
      <c r="K3" s="75"/>
      <c r="L3" s="75"/>
      <c r="M3" s="75"/>
      <c r="N3" s="75"/>
      <c r="O3" s="76" t="s">
        <v>376</v>
      </c>
      <c r="P3" s="77"/>
      <c r="Q3" s="77"/>
      <c r="R3" s="75"/>
      <c r="S3" s="75"/>
      <c r="T3" s="75"/>
      <c r="U3" s="72"/>
      <c r="V3" s="75"/>
      <c r="W3" s="75"/>
      <c r="X3" s="75"/>
      <c r="Y3" s="75"/>
      <c r="Z3" s="75"/>
      <c r="AA3" s="219"/>
      <c r="AB3" s="67"/>
      <c r="AC3" s="64"/>
      <c r="AD3" s="64"/>
      <c r="AE3" s="64"/>
      <c r="AF3" s="64"/>
      <c r="AG3" s="64"/>
      <c r="AH3" s="64"/>
      <c r="AI3" s="65"/>
      <c r="AJ3" s="64"/>
      <c r="AK3" s="64"/>
    </row>
    <row r="4" spans="1:37" ht="18.75" customHeight="1">
      <c r="A4" s="55"/>
      <c r="B4" s="55"/>
      <c r="C4" s="55"/>
      <c r="D4" s="55"/>
      <c r="E4" s="55"/>
      <c r="F4" s="55"/>
      <c r="G4" s="55"/>
      <c r="H4" s="55"/>
      <c r="I4" s="199" t="s">
        <v>74</v>
      </c>
      <c r="J4" s="200" t="s">
        <v>581</v>
      </c>
      <c r="K4" s="78"/>
      <c r="L4" s="78"/>
      <c r="M4" s="78"/>
      <c r="N4" s="78"/>
      <c r="O4" s="55"/>
      <c r="P4" s="84"/>
      <c r="Q4" s="55"/>
      <c r="R4" s="55"/>
      <c r="S4" s="55"/>
      <c r="T4" s="55"/>
      <c r="U4" s="55"/>
      <c r="V4" s="55"/>
      <c r="W4" s="55"/>
      <c r="X4" s="55"/>
      <c r="Y4" s="55"/>
      <c r="Z4" s="55"/>
      <c r="AA4" s="220"/>
      <c r="AB4" s="66"/>
      <c r="AC4" s="39"/>
      <c r="AD4" s="39"/>
      <c r="AE4" s="39"/>
      <c r="AF4" s="39"/>
      <c r="AG4" s="39"/>
      <c r="AH4" s="39"/>
      <c r="AI4" s="41"/>
      <c r="AJ4" s="39"/>
      <c r="AK4" s="39"/>
    </row>
    <row r="5" spans="1:37" ht="18.75" customHeight="1">
      <c r="A5" s="55"/>
      <c r="B5" s="55"/>
      <c r="C5" s="58" t="s">
        <v>425</v>
      </c>
      <c r="D5" s="55"/>
      <c r="E5" s="55"/>
      <c r="F5" s="55"/>
      <c r="G5" s="55"/>
      <c r="H5" s="57"/>
      <c r="I5" s="199"/>
      <c r="J5" s="201"/>
      <c r="K5" s="55"/>
      <c r="L5" s="55"/>
      <c r="M5" s="55"/>
      <c r="N5" s="55"/>
      <c r="O5" s="55"/>
      <c r="P5" s="84" t="s">
        <v>382</v>
      </c>
      <c r="Q5" s="87" t="str">
        <f>IF($J$4=Choices!$B$26,$AD$61,IF($J$4=Choices!$B$27,$AE$61,IF($J$4=Choices!$B$28,$AF$61,IF($J$4=Choices!$B$29,$AG$61,""))))</f>
        <v>単独</v>
      </c>
      <c r="R5" s="55"/>
      <c r="S5" s="55"/>
      <c r="T5" s="55"/>
      <c r="U5" s="55"/>
      <c r="V5" s="55"/>
      <c r="W5" s="72" t="s">
        <v>375</v>
      </c>
      <c r="X5" s="56"/>
      <c r="Y5" s="55"/>
      <c r="Z5" s="55"/>
      <c r="AA5" s="220"/>
      <c r="AB5" s="66"/>
      <c r="AC5" s="39"/>
      <c r="AD5" s="41"/>
      <c r="AE5" s="41"/>
      <c r="AF5" s="41"/>
      <c r="AG5" s="39"/>
      <c r="AH5" s="39"/>
      <c r="AI5" s="41"/>
      <c r="AJ5" s="39"/>
      <c r="AK5" s="39"/>
    </row>
    <row r="6" spans="1:37" ht="18.75" customHeight="1">
      <c r="A6" s="55"/>
      <c r="B6" s="55"/>
      <c r="C6" s="155" t="b">
        <v>1</v>
      </c>
      <c r="D6" s="118" t="s">
        <v>423</v>
      </c>
      <c r="E6" s="118"/>
      <c r="F6" s="55"/>
      <c r="G6" s="55"/>
      <c r="H6" s="57"/>
      <c r="I6" s="55"/>
      <c r="J6" s="55"/>
      <c r="K6" s="55"/>
      <c r="L6" s="55"/>
      <c r="M6" s="55"/>
      <c r="N6" s="55"/>
      <c r="O6" s="55"/>
      <c r="P6" s="84" t="s">
        <v>175</v>
      </c>
      <c r="Q6" s="87" t="str">
        <f>IF(OR($AD$62=1,$AE$62=1,$AF$62=1),$AC$62,IF(OR($AD$63=1,$AE$63=1,$AF$63=1),$AC$63,IF(OR($AD$64=1,$AE$64=1,$AF$64=1),$AC$64,IF(OR($AD$65=1,$AE$65=1,$AF$65=1),$AC$65,IF(OR($AD$66=1,$AE$66=1,AF66=1),$AC$66,IF($AG$67=1,$AC$67,""))))))</f>
        <v>その他（地域自律管理型）</v>
      </c>
      <c r="R6" s="55"/>
      <c r="S6" s="55"/>
      <c r="T6" s="55"/>
      <c r="U6" s="55"/>
      <c r="V6" s="55"/>
      <c r="W6" s="84" t="s">
        <v>115</v>
      </c>
      <c r="X6" s="92">
        <f>IF($J$4=Choices!$B$26,($J$64+$J$68)/1000,IF(OR($J$4=Choices!$B$27,$J$4=Choices!$B$28),0,IF($J$4=Choices!$B$29,($X$60+$X$63+$X$67+$X$70)/1000,"")))</f>
        <v>2650</v>
      </c>
      <c r="Y6" s="55"/>
      <c r="Z6" s="55"/>
      <c r="AA6" s="220"/>
      <c r="AB6" s="66"/>
      <c r="AC6" s="39"/>
      <c r="AD6" s="39"/>
      <c r="AE6" s="39"/>
      <c r="AF6" s="39"/>
      <c r="AG6" s="39"/>
      <c r="AH6" s="39"/>
      <c r="AI6" s="41"/>
      <c r="AJ6" s="39"/>
      <c r="AK6" s="39"/>
    </row>
    <row r="7" spans="1:37" ht="18.75" customHeight="1">
      <c r="A7" s="55"/>
      <c r="B7" s="55"/>
      <c r="C7" s="155" t="b">
        <v>1</v>
      </c>
      <c r="D7" s="118" t="s">
        <v>424</v>
      </c>
      <c r="E7" s="118"/>
      <c r="F7" s="55"/>
      <c r="G7" s="55"/>
      <c r="H7" s="57"/>
      <c r="I7" s="55"/>
      <c r="J7" s="55"/>
      <c r="K7" s="55"/>
      <c r="L7" s="55"/>
      <c r="M7" s="55"/>
      <c r="N7" s="55"/>
      <c r="O7" s="55"/>
      <c r="P7" s="84" t="s">
        <v>418</v>
      </c>
      <c r="Q7" s="88">
        <f>IF($Q$6&lt;&gt;"",IF($Q$5=$AD$61,$J$73,IF($Q$5=$AE$61,$Q$73,IF($Q$5=$AF$61,0,IF($Q$5=$AG$61,$X$73,0)))),NA())</f>
        <v>44880</v>
      </c>
      <c r="R7" s="72" t="s">
        <v>416</v>
      </c>
      <c r="S7" s="55"/>
      <c r="T7" s="55"/>
      <c r="U7" s="55"/>
      <c r="V7" s="55"/>
      <c r="W7" s="84" t="s">
        <v>107</v>
      </c>
      <c r="X7" s="92">
        <f>IF($J$4=Choices!$B$26,($J$65+$J$69)/1000,IF(OR($J$4=Choices!$B$27,$J$4=Choices!$B$28),0,IF($J$4=Choices!$B$29,$X$64/1000,"")))</f>
        <v>1630</v>
      </c>
      <c r="Y7" s="55"/>
      <c r="Z7" s="55"/>
      <c r="AA7" s="220"/>
      <c r="AB7" s="66"/>
      <c r="AC7" s="39"/>
      <c r="AD7" s="39"/>
      <c r="AE7" s="39"/>
      <c r="AF7" s="39"/>
      <c r="AG7" s="39"/>
      <c r="AH7" s="39"/>
      <c r="AI7" s="41"/>
      <c r="AJ7" s="39"/>
      <c r="AK7" s="39"/>
    </row>
    <row r="8" spans="1:37" ht="18.75" customHeight="1">
      <c r="A8" s="55"/>
      <c r="B8" s="55"/>
      <c r="C8" s="55"/>
      <c r="D8" s="55"/>
      <c r="E8" s="55"/>
      <c r="F8" s="55"/>
      <c r="G8" s="55"/>
      <c r="H8" s="57"/>
      <c r="I8" s="55"/>
      <c r="J8" s="55"/>
      <c r="K8" s="55"/>
      <c r="L8" s="55"/>
      <c r="M8" s="55"/>
      <c r="N8" s="55"/>
      <c r="O8" s="55"/>
      <c r="P8" s="84" t="s">
        <v>412</v>
      </c>
      <c r="Q8" s="89">
        <f>IF($F$67=2,NA(),INDEX($AD$70:$AG$74,MATCH($Q$6,$AC$70:$AC$74,0),MATCH($Q$5,$AD$69:$AG$69,0)))</f>
        <v>1497.4581203876673</v>
      </c>
      <c r="R8" s="72" t="s">
        <v>417</v>
      </c>
      <c r="S8" s="55"/>
      <c r="T8" s="55"/>
      <c r="U8" s="55"/>
      <c r="V8" s="55"/>
      <c r="W8" s="84" t="s">
        <v>374</v>
      </c>
      <c r="X8" s="92">
        <f>IF($J$4=Choices!$B$26,($J$66+$J$67+$J$70+$J$71)/1000,IF(OR($J$4=Choices!$B$27,$J$4=Choices!$B$28),($Q$64+$Q$65)/1000,IF($J$4=Choices!$B$29,0,"")))</f>
        <v>10600</v>
      </c>
      <c r="Y8" s="55"/>
      <c r="Z8" s="55"/>
      <c r="AA8" s="220"/>
      <c r="AB8" s="66"/>
      <c r="AC8" s="39"/>
      <c r="AD8" s="39"/>
      <c r="AE8" s="39"/>
      <c r="AF8" s="39"/>
      <c r="AG8" s="39"/>
      <c r="AH8" s="39"/>
      <c r="AI8" s="41"/>
      <c r="AJ8" s="39"/>
      <c r="AK8" s="39"/>
    </row>
    <row r="9" spans="1:37" ht="18.75" customHeight="1">
      <c r="A9" s="55"/>
      <c r="B9" s="75"/>
      <c r="C9" s="55"/>
      <c r="D9" s="55"/>
      <c r="E9" s="55"/>
      <c r="F9" s="55"/>
      <c r="G9" s="55"/>
      <c r="H9" s="55"/>
      <c r="I9" s="55"/>
      <c r="J9" s="55"/>
      <c r="K9" s="55"/>
      <c r="L9" s="55"/>
      <c r="M9" s="55"/>
      <c r="N9" s="55"/>
      <c r="O9" s="55"/>
      <c r="P9" s="84" t="s">
        <v>411</v>
      </c>
      <c r="Q9" s="89">
        <f>IF(OR($AE$62=1,$AE$63=1,$AE$64=1,$AE$65=1,$AF$62=1,$AF$63=1,$AF$64=1,$AF$65=1),$Q$8*$E$25/($E$25+$Q$25),$Q$8)</f>
        <v>1497.4581203876673</v>
      </c>
      <c r="R9" s="72" t="s">
        <v>417</v>
      </c>
      <c r="S9" s="55"/>
      <c r="T9" s="55"/>
      <c r="U9" s="55"/>
      <c r="V9" s="55"/>
      <c r="W9" s="84" t="s">
        <v>83</v>
      </c>
      <c r="X9" s="92">
        <f>IF($J$4=Choices!$B$26,SUM($J$60:$J$63)/1000,IF(OR($J$4=Choices!$B$27,$J$4=Choices!$B$28),SUM($Q$61:$Q$63)/1000,IF($J$4=Choices!$B$29,($X$61+$X$65+$X$68+$X$71)/1000,"")))</f>
        <v>30000</v>
      </c>
      <c r="Y9" s="55"/>
      <c r="Z9" s="55"/>
      <c r="AA9" s="220"/>
      <c r="AB9" s="66"/>
      <c r="AC9" s="39"/>
      <c r="AD9" s="39"/>
      <c r="AE9" s="39"/>
      <c r="AF9" s="39"/>
      <c r="AG9" s="39"/>
      <c r="AH9" s="39"/>
      <c r="AI9" s="39"/>
      <c r="AJ9" s="39"/>
      <c r="AK9" s="39"/>
    </row>
    <row r="10" spans="1:37" ht="18.75" customHeight="1">
      <c r="A10" s="55"/>
      <c r="B10" s="55"/>
      <c r="C10" s="72" t="s">
        <v>429</v>
      </c>
      <c r="D10" s="55"/>
      <c r="E10" s="55"/>
      <c r="F10" s="55"/>
      <c r="G10" s="55"/>
      <c r="H10" s="55"/>
      <c r="I10" s="55"/>
      <c r="J10" s="55"/>
      <c r="K10" s="55"/>
      <c r="L10" s="55"/>
      <c r="M10" s="55"/>
      <c r="N10" s="55"/>
      <c r="O10" s="55"/>
      <c r="P10" s="60"/>
      <c r="Q10" s="60"/>
      <c r="R10" s="55"/>
      <c r="S10" s="55"/>
      <c r="T10" s="55"/>
      <c r="U10" s="55"/>
      <c r="V10" s="55"/>
      <c r="W10" s="72"/>
      <c r="X10" s="83"/>
      <c r="Y10" s="55"/>
      <c r="Z10" s="55"/>
      <c r="AA10" s="220"/>
      <c r="AB10" s="66"/>
      <c r="AC10" s="39"/>
      <c r="AD10" s="39"/>
      <c r="AE10" s="39"/>
      <c r="AF10" s="39"/>
      <c r="AG10" s="39"/>
      <c r="AH10" s="39"/>
      <c r="AI10" s="39"/>
      <c r="AJ10" s="39"/>
      <c r="AK10" s="39"/>
    </row>
    <row r="11" spans="1:37" ht="18.75" customHeight="1">
      <c r="A11" s="55"/>
      <c r="B11" s="55"/>
      <c r="C11" s="74" t="s">
        <v>428</v>
      </c>
      <c r="D11" s="55"/>
      <c r="E11" s="55"/>
      <c r="F11" s="55"/>
      <c r="G11" s="55"/>
      <c r="H11" s="55"/>
      <c r="I11" s="55"/>
      <c r="J11" s="55"/>
      <c r="K11" s="55"/>
      <c r="L11" s="55"/>
      <c r="M11" s="55"/>
      <c r="N11" s="55"/>
      <c r="O11" s="55"/>
      <c r="P11" s="84" t="s">
        <v>252</v>
      </c>
      <c r="Q11" s="202" t="str">
        <f>_xlfn.TEXTJOIN(CHAR(10),TRUE,AD21:AD40)</f>
        <v>・市町村と地域の協力体制や地域高校等との連携については，実践ガイドを参照してください．
・年間コストには，役員報酬が含まれていません．なお，水質検査費用は含まれているので，市町村から助成が受けられる場合はその分を差し引いてください．
・維持管理を地域で実施する場合は，市町村の助成制度を使える可能性があるので確認してください．
・維持管理を委託に変更する場合は，契約形態について実践ガイドの事例等を参考にしてください．
・表流水を水源にする場合は，当該河川の水利権を確認してください．</v>
      </c>
      <c r="R11" s="203"/>
      <c r="S11" s="203"/>
      <c r="T11" s="203"/>
      <c r="U11" s="203"/>
      <c r="V11" s="203"/>
      <c r="W11" s="203"/>
      <c r="X11" s="203"/>
      <c r="Y11" s="204"/>
      <c r="Z11" s="55"/>
      <c r="AA11" s="220"/>
      <c r="AB11" s="66"/>
      <c r="AC11" s="42" t="s">
        <v>593</v>
      </c>
      <c r="AD11" s="39"/>
      <c r="AE11" s="39"/>
      <c r="AF11" s="39"/>
      <c r="AG11" s="39"/>
      <c r="AH11" s="39"/>
      <c r="AI11" s="39"/>
      <c r="AJ11" s="39"/>
      <c r="AK11" s="39"/>
    </row>
    <row r="12" spans="1:37" ht="18.75" customHeight="1">
      <c r="A12" s="55"/>
      <c r="B12" s="55"/>
      <c r="C12" s="55"/>
      <c r="D12" s="122" t="s">
        <v>426</v>
      </c>
      <c r="E12" s="79"/>
      <c r="F12" s="55"/>
      <c r="G12" s="55"/>
      <c r="H12" s="55"/>
      <c r="I12" s="55"/>
      <c r="J12" s="55"/>
      <c r="K12" s="55"/>
      <c r="L12" s="55"/>
      <c r="M12" s="55"/>
      <c r="N12" s="55"/>
      <c r="O12" s="55"/>
      <c r="P12" s="55"/>
      <c r="Q12" s="205"/>
      <c r="R12" s="206"/>
      <c r="S12" s="206"/>
      <c r="T12" s="206"/>
      <c r="U12" s="206"/>
      <c r="V12" s="206"/>
      <c r="W12" s="206"/>
      <c r="X12" s="206"/>
      <c r="Y12" s="207"/>
      <c r="Z12" s="55"/>
      <c r="AA12" s="220"/>
      <c r="AB12" s="66"/>
      <c r="AC12" s="44" t="s">
        <v>594</v>
      </c>
      <c r="AD12" s="171" t="str">
        <f>$E$104</f>
        <v>・現状の年間コストは推計値です．実績値がある場合はそちらを参考にしてください．</v>
      </c>
      <c r="AE12" s="39"/>
      <c r="AF12" s="39"/>
      <c r="AG12" s="39"/>
      <c r="AH12" s="39"/>
      <c r="AI12" s="39"/>
      <c r="AJ12" s="39"/>
      <c r="AK12" s="39"/>
    </row>
    <row r="13" spans="1:37" s="59" customFormat="1" ht="18.75" customHeight="1">
      <c r="A13" s="176"/>
      <c r="B13" s="55"/>
      <c r="C13" s="55"/>
      <c r="D13" s="211" t="s">
        <v>427</v>
      </c>
      <c r="E13" s="80" t="s">
        <v>249</v>
      </c>
      <c r="F13" s="55"/>
      <c r="G13" s="55"/>
      <c r="H13" s="55"/>
      <c r="I13" s="55"/>
      <c r="J13" s="55"/>
      <c r="K13" s="55"/>
      <c r="L13" s="55"/>
      <c r="M13" s="55"/>
      <c r="N13" s="55"/>
      <c r="O13" s="55"/>
      <c r="P13" s="55"/>
      <c r="Q13" s="205"/>
      <c r="R13" s="206"/>
      <c r="S13" s="206"/>
      <c r="T13" s="206"/>
      <c r="U13" s="206"/>
      <c r="V13" s="206"/>
      <c r="W13" s="206"/>
      <c r="X13" s="206"/>
      <c r="Y13" s="207"/>
      <c r="Z13" s="55"/>
      <c r="AA13" s="220"/>
      <c r="AB13" s="66"/>
      <c r="AC13" s="44" t="s">
        <v>591</v>
      </c>
      <c r="AD13" s="171" t="str">
        <f>IF($F$76=1,$E$105,"")</f>
        <v/>
      </c>
      <c r="AE13" s="39"/>
      <c r="AF13" s="64"/>
      <c r="AG13" s="64"/>
      <c r="AH13" s="64"/>
      <c r="AI13" s="65"/>
      <c r="AJ13" s="64"/>
      <c r="AK13" s="64"/>
    </row>
    <row r="14" spans="1:37" s="59" customFormat="1" ht="18.75" customHeight="1">
      <c r="A14" s="176"/>
      <c r="B14" s="55"/>
      <c r="C14" s="55"/>
      <c r="D14" s="212"/>
      <c r="E14" s="81" t="s">
        <v>250</v>
      </c>
      <c r="F14" s="55"/>
      <c r="G14" s="55"/>
      <c r="H14" s="55"/>
      <c r="I14" s="55"/>
      <c r="J14" s="55"/>
      <c r="K14" s="55"/>
      <c r="L14" s="55"/>
      <c r="M14" s="55"/>
      <c r="N14" s="55"/>
      <c r="O14" s="55"/>
      <c r="P14" s="55"/>
      <c r="Q14" s="205"/>
      <c r="R14" s="206"/>
      <c r="S14" s="206"/>
      <c r="T14" s="206"/>
      <c r="U14" s="206"/>
      <c r="V14" s="206"/>
      <c r="W14" s="206"/>
      <c r="X14" s="206"/>
      <c r="Y14" s="207"/>
      <c r="Z14" s="55"/>
      <c r="AA14" s="220"/>
      <c r="AB14" s="66"/>
      <c r="AC14" s="39"/>
      <c r="AD14" s="39"/>
      <c r="AE14" s="39"/>
      <c r="AF14" s="64"/>
      <c r="AG14" s="64"/>
      <c r="AH14" s="64"/>
      <c r="AI14" s="65"/>
      <c r="AJ14" s="64"/>
      <c r="AK14" s="64"/>
    </row>
    <row r="15" spans="1:37" ht="18.75" customHeight="1">
      <c r="A15" s="55"/>
      <c r="B15" s="55"/>
      <c r="C15" s="55"/>
      <c r="D15" s="213"/>
      <c r="E15" s="82" t="s">
        <v>248</v>
      </c>
      <c r="F15" s="55"/>
      <c r="G15" s="55"/>
      <c r="H15" s="55"/>
      <c r="I15" s="55"/>
      <c r="J15" s="55"/>
      <c r="K15" s="55"/>
      <c r="L15" s="55"/>
      <c r="M15" s="55"/>
      <c r="N15" s="55"/>
      <c r="O15" s="55"/>
      <c r="P15" s="55"/>
      <c r="Q15" s="205"/>
      <c r="R15" s="206"/>
      <c r="S15" s="206"/>
      <c r="T15" s="206"/>
      <c r="U15" s="206"/>
      <c r="V15" s="206"/>
      <c r="W15" s="206"/>
      <c r="X15" s="206"/>
      <c r="Y15" s="207"/>
      <c r="Z15" s="55"/>
      <c r="AA15" s="220"/>
      <c r="AB15" s="66"/>
      <c r="AC15" s="39"/>
      <c r="AD15" s="39"/>
      <c r="AE15" s="39"/>
      <c r="AF15" s="39"/>
      <c r="AG15" s="39"/>
      <c r="AH15" s="39"/>
      <c r="AI15" s="41"/>
      <c r="AJ15" s="39"/>
      <c r="AK15" s="68"/>
    </row>
    <row r="16" spans="1:37" ht="18.75" customHeight="1">
      <c r="A16" s="55"/>
      <c r="B16" s="55"/>
      <c r="C16" s="55"/>
      <c r="D16" s="86"/>
      <c r="E16" s="72"/>
      <c r="F16" s="55"/>
      <c r="G16" s="55"/>
      <c r="H16" s="55"/>
      <c r="I16" s="55"/>
      <c r="J16" s="55"/>
      <c r="K16" s="55"/>
      <c r="L16" s="55"/>
      <c r="M16" s="55"/>
      <c r="N16" s="55"/>
      <c r="O16" s="55"/>
      <c r="P16" s="55"/>
      <c r="Q16" s="205"/>
      <c r="R16" s="206"/>
      <c r="S16" s="206"/>
      <c r="T16" s="206"/>
      <c r="U16" s="206"/>
      <c r="V16" s="206"/>
      <c r="W16" s="206"/>
      <c r="X16" s="206"/>
      <c r="Y16" s="207"/>
      <c r="Z16" s="55"/>
      <c r="AA16" s="220"/>
      <c r="AB16" s="66"/>
      <c r="AC16" s="39"/>
      <c r="AD16" s="39"/>
      <c r="AE16" s="39"/>
      <c r="AF16" s="39"/>
      <c r="AG16" s="39"/>
      <c r="AH16" s="39"/>
      <c r="AI16" s="41"/>
      <c r="AJ16" s="39"/>
      <c r="AK16" s="68"/>
    </row>
    <row r="17" spans="1:37" ht="18.75" customHeight="1">
      <c r="A17" s="55"/>
      <c r="B17" s="55"/>
      <c r="C17" s="55"/>
      <c r="D17" s="86"/>
      <c r="E17" s="72"/>
      <c r="F17" s="55"/>
      <c r="G17" s="55"/>
      <c r="H17" s="55"/>
      <c r="I17" s="55"/>
      <c r="J17" s="55"/>
      <c r="K17" s="55"/>
      <c r="L17" s="55"/>
      <c r="M17" s="55"/>
      <c r="N17" s="55"/>
      <c r="O17" s="55"/>
      <c r="P17" s="55"/>
      <c r="Q17" s="208"/>
      <c r="R17" s="209"/>
      <c r="S17" s="209"/>
      <c r="T17" s="209"/>
      <c r="U17" s="209"/>
      <c r="V17" s="209"/>
      <c r="W17" s="209"/>
      <c r="X17" s="209"/>
      <c r="Y17" s="210"/>
      <c r="Z17" s="55"/>
      <c r="AA17" s="220"/>
      <c r="AB17" s="66"/>
      <c r="AC17" s="39"/>
      <c r="AD17" s="39"/>
      <c r="AE17" s="39"/>
      <c r="AF17" s="39"/>
      <c r="AG17" s="39"/>
      <c r="AH17" s="39"/>
      <c r="AI17" s="39"/>
      <c r="AJ17" s="39"/>
      <c r="AK17" s="68"/>
    </row>
    <row r="18" spans="1:37" ht="18.75" customHeight="1">
      <c r="A18" s="55"/>
      <c r="B18" s="55"/>
      <c r="C18" s="55"/>
      <c r="D18" s="55"/>
      <c r="E18" s="55"/>
      <c r="F18" s="55"/>
      <c r="G18" s="55"/>
      <c r="H18" s="55"/>
      <c r="I18" s="55"/>
      <c r="J18" s="55"/>
      <c r="K18" s="55"/>
      <c r="L18" s="55"/>
      <c r="M18" s="55"/>
      <c r="N18" s="55"/>
      <c r="O18" s="55"/>
      <c r="P18" s="55"/>
      <c r="Q18" s="55"/>
      <c r="R18" s="55"/>
      <c r="S18" s="55"/>
      <c r="T18" s="55"/>
      <c r="U18" s="55"/>
      <c r="V18" s="55"/>
      <c r="W18" s="72"/>
      <c r="X18" s="83"/>
      <c r="Y18" s="55"/>
      <c r="Z18" s="55"/>
      <c r="AA18" s="220"/>
      <c r="AB18" s="66"/>
      <c r="AC18" s="39"/>
      <c r="AD18" s="39"/>
      <c r="AE18" s="39"/>
      <c r="AF18" s="39"/>
      <c r="AG18" s="39"/>
      <c r="AH18" s="39"/>
      <c r="AI18" s="41"/>
      <c r="AJ18" s="39"/>
      <c r="AK18" s="68"/>
    </row>
    <row r="19" spans="1:37" ht="18.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219"/>
      <c r="AB19" s="67"/>
      <c r="AC19" s="64"/>
      <c r="AD19" s="64"/>
      <c r="AE19" s="64"/>
      <c r="AF19" s="39"/>
      <c r="AG19" s="39"/>
      <c r="AH19" s="39"/>
      <c r="AI19" s="41"/>
      <c r="AJ19" s="39"/>
      <c r="AK19" s="68"/>
    </row>
    <row r="20" spans="1:37" ht="18.75" customHeight="1">
      <c r="A20" s="55"/>
      <c r="B20" s="75"/>
      <c r="C20" s="75"/>
      <c r="D20" s="75"/>
      <c r="E20" s="75"/>
      <c r="F20" s="75"/>
      <c r="G20" s="75"/>
      <c r="H20" s="72" t="s">
        <v>157</v>
      </c>
      <c r="I20" s="75"/>
      <c r="J20" s="75"/>
      <c r="K20" s="75"/>
      <c r="L20" s="75"/>
      <c r="M20" s="75"/>
      <c r="N20" s="75"/>
      <c r="O20" s="72" t="s">
        <v>583</v>
      </c>
      <c r="P20" s="75"/>
      <c r="Q20" s="75"/>
      <c r="R20" s="75"/>
      <c r="S20" s="75"/>
      <c r="T20" s="75"/>
      <c r="U20" s="75"/>
      <c r="V20" s="72" t="s">
        <v>312</v>
      </c>
      <c r="W20" s="75"/>
      <c r="X20" s="75"/>
      <c r="Y20" s="75"/>
      <c r="Z20" s="75"/>
      <c r="AA20" s="219"/>
      <c r="AB20" s="67"/>
      <c r="AC20" s="169" t="s">
        <v>592</v>
      </c>
      <c r="AD20" s="170"/>
      <c r="AE20" s="70"/>
      <c r="AF20" s="39"/>
      <c r="AG20" s="39"/>
      <c r="AH20" s="39"/>
      <c r="AI20" s="41"/>
      <c r="AJ20" s="39"/>
      <c r="AK20" s="68"/>
    </row>
    <row r="21" spans="1:37" ht="18.75" customHeight="1">
      <c r="A21" s="55"/>
      <c r="B21" s="76" t="s">
        <v>344</v>
      </c>
      <c r="C21" s="77"/>
      <c r="D21" s="77"/>
      <c r="E21" s="77"/>
      <c r="F21" s="75"/>
      <c r="G21" s="76" t="s">
        <v>346</v>
      </c>
      <c r="H21" s="77"/>
      <c r="I21" s="77"/>
      <c r="J21" s="77"/>
      <c r="K21" s="75"/>
      <c r="L21" s="75"/>
      <c r="M21" s="75"/>
      <c r="N21" s="178" t="s">
        <v>646</v>
      </c>
      <c r="O21" s="77"/>
      <c r="P21" s="77"/>
      <c r="Q21" s="77"/>
      <c r="R21" s="75"/>
      <c r="S21" s="75"/>
      <c r="T21" s="75"/>
      <c r="U21" s="76" t="s">
        <v>347</v>
      </c>
      <c r="V21" s="77"/>
      <c r="W21" s="77"/>
      <c r="X21" s="77"/>
      <c r="Y21" s="75"/>
      <c r="Z21" s="75"/>
      <c r="AA21" s="220"/>
      <c r="AB21" s="69"/>
      <c r="AC21" s="167" t="s">
        <v>268</v>
      </c>
      <c r="AD21" s="168" t="str">
        <f>IF($F$65=1,$E$79,"")</f>
        <v>・市町村と地域の協力体制や地域高校等との連携については，実践ガイドを参照してください．</v>
      </c>
      <c r="AE21" s="39"/>
      <c r="AF21" s="39"/>
      <c r="AG21" s="39"/>
      <c r="AH21" s="39"/>
      <c r="AI21" s="41"/>
      <c r="AJ21" s="39"/>
      <c r="AK21" s="68"/>
    </row>
    <row r="22" spans="1:37" ht="18.75" customHeight="1">
      <c r="A22" s="55"/>
      <c r="B22" s="55"/>
      <c r="C22" s="72" t="s">
        <v>158</v>
      </c>
      <c r="D22" s="74"/>
      <c r="E22" s="55"/>
      <c r="F22" s="55"/>
      <c r="G22" s="55"/>
      <c r="H22" s="72" t="s">
        <v>575</v>
      </c>
      <c r="I22" s="72"/>
      <c r="J22" s="55"/>
      <c r="K22" s="55"/>
      <c r="L22" s="55"/>
      <c r="M22" s="55"/>
      <c r="N22" s="55"/>
      <c r="O22" s="72" t="s">
        <v>647</v>
      </c>
      <c r="P22" s="72"/>
      <c r="Q22" s="72"/>
      <c r="R22" s="55"/>
      <c r="S22" s="55"/>
      <c r="T22" s="55"/>
      <c r="U22" s="55"/>
      <c r="V22" s="72" t="s">
        <v>313</v>
      </c>
      <c r="W22" s="72"/>
      <c r="X22" s="55"/>
      <c r="Y22" s="55"/>
      <c r="Z22" s="55"/>
      <c r="AA22" s="220"/>
      <c r="AB22" s="69"/>
      <c r="AC22" s="44" t="s">
        <v>267</v>
      </c>
      <c r="AD22" s="115" t="str">
        <f>IF($F$65=1,$E$80,"")</f>
        <v>・年間コストには，役員報酬が含まれていません．なお，水質検査費用は含まれているので，市町村から助成が受けられる場合はその分を差し引いてください．</v>
      </c>
      <c r="AE22" s="39"/>
      <c r="AF22" s="39"/>
      <c r="AG22" s="39"/>
      <c r="AH22" s="39"/>
      <c r="AI22" s="41"/>
      <c r="AJ22" s="39"/>
      <c r="AK22" s="68"/>
    </row>
    <row r="23" spans="1:37" ht="18.75" customHeight="1">
      <c r="A23" s="55"/>
      <c r="B23" s="55"/>
      <c r="C23" s="72"/>
      <c r="D23" s="72" t="s">
        <v>160</v>
      </c>
      <c r="E23" s="94" t="s">
        <v>44</v>
      </c>
      <c r="F23" s="55"/>
      <c r="G23" s="55"/>
      <c r="H23" s="72"/>
      <c r="I23" s="72" t="s">
        <v>67</v>
      </c>
      <c r="J23" s="94" t="s">
        <v>44</v>
      </c>
      <c r="K23" s="55"/>
      <c r="L23" s="55"/>
      <c r="M23" s="55"/>
      <c r="N23" s="55"/>
      <c r="O23" s="72"/>
      <c r="P23" s="72" t="s">
        <v>67</v>
      </c>
      <c r="Q23" s="94"/>
      <c r="R23" s="55"/>
      <c r="S23" s="55"/>
      <c r="T23" s="55"/>
      <c r="U23" s="55"/>
      <c r="V23" s="72"/>
      <c r="W23" s="72" t="s">
        <v>67</v>
      </c>
      <c r="X23" s="93" t="str">
        <f>IF($J$4=Choices!$B$29,"飲用井戸","")</f>
        <v/>
      </c>
      <c r="Y23" s="55"/>
      <c r="Z23" s="55"/>
      <c r="AA23" s="220"/>
      <c r="AB23" s="69"/>
      <c r="AC23" s="44" t="s">
        <v>604</v>
      </c>
      <c r="AD23" s="115" t="str">
        <f>_xlfn.IFS(AND($F$62=3,$F$63=2),$E$81,AND($F$62=3,$F$63=1,$F$64=1,$F$67=1),$E$81,$F$61=3,$E$81,TRUE,"")</f>
        <v/>
      </c>
      <c r="AE23" s="39"/>
      <c r="AF23" s="39"/>
      <c r="AG23" s="39"/>
      <c r="AH23" s="39"/>
      <c r="AI23" s="39"/>
      <c r="AJ23" s="39"/>
      <c r="AK23" s="68"/>
    </row>
    <row r="24" spans="1:37" ht="18.75" customHeight="1">
      <c r="A24" s="55"/>
      <c r="B24" s="55"/>
      <c r="C24" s="72"/>
      <c r="D24" s="72" t="s">
        <v>161</v>
      </c>
      <c r="E24" s="94">
        <v>200</v>
      </c>
      <c r="F24" s="72" t="s">
        <v>299</v>
      </c>
      <c r="G24" s="55"/>
      <c r="H24" s="72"/>
      <c r="I24" s="72" t="s">
        <v>68</v>
      </c>
      <c r="J24" s="94">
        <v>200</v>
      </c>
      <c r="K24" s="72" t="s">
        <v>299</v>
      </c>
      <c r="L24" s="55"/>
      <c r="M24" s="55"/>
      <c r="N24" s="55"/>
      <c r="O24" s="72"/>
      <c r="P24" s="72" t="s">
        <v>68</v>
      </c>
      <c r="Q24" s="94"/>
      <c r="R24" s="72" t="s">
        <v>299</v>
      </c>
      <c r="S24" s="72"/>
      <c r="T24" s="72"/>
      <c r="U24" s="55"/>
      <c r="V24" s="72"/>
      <c r="W24" s="72" t="s">
        <v>335</v>
      </c>
      <c r="X24" s="55"/>
      <c r="Y24" s="94"/>
      <c r="Z24" s="72" t="s">
        <v>97</v>
      </c>
      <c r="AA24" s="220"/>
      <c r="AB24" s="69"/>
      <c r="AC24" s="44" t="s">
        <v>266</v>
      </c>
      <c r="AD24" s="115" t="str">
        <f>_xlfn.IFS($F$61=4,$E$82,$F$62=4,$E$82,TRUE,"")</f>
        <v>・維持管理を地域で実施する場合は，市町村の助成制度を使える可能性があるので確認してください．</v>
      </c>
      <c r="AE24" s="39"/>
      <c r="AF24" s="39"/>
      <c r="AG24" s="39"/>
      <c r="AH24" s="39"/>
      <c r="AI24" s="41"/>
      <c r="AJ24" s="39"/>
      <c r="AK24" s="68"/>
    </row>
    <row r="25" spans="1:37" ht="18.75" customHeight="1">
      <c r="A25" s="55"/>
      <c r="B25" s="55"/>
      <c r="C25" s="72"/>
      <c r="D25" s="72" t="s">
        <v>162</v>
      </c>
      <c r="E25" s="94">
        <v>50</v>
      </c>
      <c r="F25" s="72" t="s">
        <v>299</v>
      </c>
      <c r="G25" s="55"/>
      <c r="H25" s="72"/>
      <c r="I25" s="72" t="s">
        <v>69</v>
      </c>
      <c r="J25" s="94">
        <v>50</v>
      </c>
      <c r="K25" s="72" t="s">
        <v>299</v>
      </c>
      <c r="L25" s="55"/>
      <c r="M25" s="55"/>
      <c r="N25" s="55"/>
      <c r="O25" s="72"/>
      <c r="P25" s="72" t="s">
        <v>69</v>
      </c>
      <c r="Q25" s="94"/>
      <c r="R25" s="72" t="s">
        <v>299</v>
      </c>
      <c r="S25" s="72"/>
      <c r="T25" s="72"/>
      <c r="U25" s="55"/>
      <c r="V25" s="72"/>
      <c r="W25" s="72" t="s">
        <v>336</v>
      </c>
      <c r="X25" s="55"/>
      <c r="Y25" s="94"/>
      <c r="Z25" s="72" t="s">
        <v>97</v>
      </c>
      <c r="AA25" s="220"/>
      <c r="AB25" s="69"/>
      <c r="AC25" s="44" t="s">
        <v>633</v>
      </c>
      <c r="AD25" s="115" t="str">
        <f>_xlfn.IFS($F$61=2,$E$83,$F$61=4,$E$83,TRUE,"")</f>
        <v>・維持管理を委託に変更する場合は，契約形態について実践ガイドの事例等を参考にしてください．</v>
      </c>
      <c r="AE25" s="39"/>
      <c r="AF25" s="39"/>
      <c r="AG25" s="39"/>
      <c r="AH25" s="39"/>
      <c r="AI25" s="41"/>
      <c r="AJ25" s="39"/>
      <c r="AK25" s="68"/>
    </row>
    <row r="26" spans="1:37" ht="18.75" customHeight="1">
      <c r="A26" s="55"/>
      <c r="B26" s="55"/>
      <c r="C26" s="72"/>
      <c r="D26" s="72" t="s">
        <v>163</v>
      </c>
      <c r="E26" s="94">
        <v>100</v>
      </c>
      <c r="F26" s="72" t="s">
        <v>348</v>
      </c>
      <c r="G26" s="55"/>
      <c r="H26" s="72"/>
      <c r="I26" s="72" t="s">
        <v>70</v>
      </c>
      <c r="J26" s="94">
        <v>50</v>
      </c>
      <c r="K26" s="72" t="s">
        <v>348</v>
      </c>
      <c r="L26" s="55"/>
      <c r="M26" s="55"/>
      <c r="N26" s="55"/>
      <c r="O26" s="72"/>
      <c r="P26" s="72" t="s">
        <v>70</v>
      </c>
      <c r="Q26" s="94"/>
      <c r="R26" s="72" t="s">
        <v>348</v>
      </c>
      <c r="S26" s="72"/>
      <c r="T26" s="72"/>
      <c r="U26" s="55"/>
      <c r="V26" s="72"/>
      <c r="W26" s="72" t="s">
        <v>434</v>
      </c>
      <c r="X26" s="55"/>
      <c r="Y26" s="94"/>
      <c r="Z26" s="72" t="s">
        <v>433</v>
      </c>
      <c r="AA26" s="220"/>
      <c r="AB26" s="69"/>
      <c r="AC26" s="44" t="s">
        <v>586</v>
      </c>
      <c r="AD26" s="115" t="str">
        <f>IF($F$66=1,$E$84,"")</f>
        <v/>
      </c>
      <c r="AE26" s="39"/>
      <c r="AF26" s="39"/>
      <c r="AG26" s="39"/>
      <c r="AH26" s="39"/>
      <c r="AI26" s="41"/>
      <c r="AJ26" s="39"/>
      <c r="AK26" s="68"/>
    </row>
    <row r="27" spans="1:37" ht="18.75" customHeight="1">
      <c r="A27" s="55"/>
      <c r="B27" s="55"/>
      <c r="C27" s="72"/>
      <c r="D27" s="72" t="s">
        <v>164</v>
      </c>
      <c r="E27" s="95" t="s">
        <v>277</v>
      </c>
      <c r="F27" s="55"/>
      <c r="G27" s="55"/>
      <c r="H27" s="72"/>
      <c r="I27" s="72" t="s">
        <v>71</v>
      </c>
      <c r="J27" s="95" t="s">
        <v>277</v>
      </c>
      <c r="K27" s="55"/>
      <c r="L27" s="55"/>
      <c r="M27" s="55"/>
      <c r="N27" s="55"/>
      <c r="O27" s="72"/>
      <c r="P27" s="72" t="s">
        <v>71</v>
      </c>
      <c r="Q27" s="95"/>
      <c r="R27" s="55"/>
      <c r="S27" s="55"/>
      <c r="T27" s="55"/>
      <c r="U27" s="55"/>
      <c r="V27" s="72"/>
      <c r="W27" s="72"/>
      <c r="X27" s="55"/>
      <c r="Y27" s="55"/>
      <c r="Z27" s="55"/>
      <c r="AA27" s="220"/>
      <c r="AB27" s="69"/>
      <c r="AC27" s="73" t="s">
        <v>377</v>
      </c>
      <c r="AD27" s="115" t="str">
        <f>IF(OR($F$60=2,$F$60=3),$E$85,"")</f>
        <v/>
      </c>
      <c r="AE27" s="39"/>
      <c r="AF27" s="39"/>
      <c r="AG27" s="39"/>
      <c r="AH27" s="39"/>
      <c r="AI27" s="41"/>
      <c r="AJ27" s="39"/>
      <c r="AK27" s="68"/>
    </row>
    <row r="28" spans="1:37" ht="18.75" customHeight="1">
      <c r="A28" s="55"/>
      <c r="B28" s="55"/>
      <c r="C28" s="55"/>
      <c r="D28" s="55"/>
      <c r="E28" s="55"/>
      <c r="F28" s="55"/>
      <c r="G28" s="55"/>
      <c r="H28" s="72"/>
      <c r="I28" s="72"/>
      <c r="J28" s="55"/>
      <c r="K28" s="55"/>
      <c r="L28" s="55"/>
      <c r="M28" s="55"/>
      <c r="N28" s="55"/>
      <c r="O28" s="55"/>
      <c r="P28" s="55"/>
      <c r="Q28" s="60"/>
      <c r="R28" s="55"/>
      <c r="S28" s="55"/>
      <c r="T28" s="55"/>
      <c r="U28" s="55"/>
      <c r="V28" s="58" t="s">
        <v>318</v>
      </c>
      <c r="W28" s="55"/>
      <c r="X28" s="55"/>
      <c r="Y28" s="55"/>
      <c r="Z28" s="55"/>
      <c r="AA28" s="220"/>
      <c r="AB28" s="69"/>
      <c r="AC28" s="44" t="s">
        <v>634</v>
      </c>
      <c r="AD28" s="115" t="str">
        <f>_xlfn.IFS(AND($F$60=2,$F$67=1),$E$86,$F$60=3,$E$86,TRUE,"")</f>
        <v/>
      </c>
      <c r="AE28" s="39"/>
      <c r="AF28" s="39"/>
      <c r="AG28" s="39"/>
      <c r="AH28" s="39"/>
      <c r="AI28" s="39"/>
      <c r="AJ28" s="39"/>
      <c r="AK28" s="68"/>
    </row>
    <row r="29" spans="1:37" ht="18.75" customHeight="1">
      <c r="A29" s="55"/>
      <c r="B29" s="55"/>
      <c r="C29" s="72" t="s">
        <v>159</v>
      </c>
      <c r="D29" s="72"/>
      <c r="E29" s="72"/>
      <c r="F29" s="55"/>
      <c r="G29" s="55"/>
      <c r="H29" s="72" t="s">
        <v>574</v>
      </c>
      <c r="I29" s="72"/>
      <c r="J29" s="55"/>
      <c r="K29" s="55"/>
      <c r="L29" s="55"/>
      <c r="M29" s="55"/>
      <c r="N29" s="55"/>
      <c r="O29" s="72" t="s">
        <v>576</v>
      </c>
      <c r="P29" s="72"/>
      <c r="Q29" s="84"/>
      <c r="R29" s="55"/>
      <c r="S29" s="55"/>
      <c r="T29" s="55"/>
      <c r="U29" s="55"/>
      <c r="V29" s="72" t="s">
        <v>315</v>
      </c>
      <c r="W29" s="72"/>
      <c r="X29" s="55"/>
      <c r="Y29" s="55"/>
      <c r="Z29" s="55"/>
      <c r="AA29" s="220"/>
      <c r="AB29" s="69"/>
      <c r="AC29" s="44" t="s">
        <v>635</v>
      </c>
      <c r="AD29" s="115" t="str">
        <f>IF($F$67=2,$E$87,"")</f>
        <v/>
      </c>
      <c r="AE29" s="39"/>
      <c r="AF29" s="39"/>
      <c r="AG29" s="39"/>
      <c r="AH29" s="39"/>
      <c r="AI29" s="41"/>
      <c r="AJ29" s="39"/>
      <c r="AK29" s="68"/>
    </row>
    <row r="30" spans="1:37" ht="18.75" customHeight="1">
      <c r="A30" s="55"/>
      <c r="B30" s="55"/>
      <c r="C30" s="72"/>
      <c r="D30" s="72" t="s">
        <v>165</v>
      </c>
      <c r="E30" s="94" t="s">
        <v>57</v>
      </c>
      <c r="F30" s="55"/>
      <c r="G30" s="55"/>
      <c r="H30" s="72"/>
      <c r="I30" s="72" t="s">
        <v>165</v>
      </c>
      <c r="J30" s="94" t="s">
        <v>48</v>
      </c>
      <c r="K30" s="55"/>
      <c r="L30" s="55"/>
      <c r="M30" s="55"/>
      <c r="N30" s="55"/>
      <c r="O30" s="72"/>
      <c r="P30" s="72" t="s">
        <v>165</v>
      </c>
      <c r="Q30" s="94"/>
      <c r="R30" s="55"/>
      <c r="S30" s="55"/>
      <c r="T30" s="55"/>
      <c r="U30" s="55"/>
      <c r="V30" s="72"/>
      <c r="W30" s="72" t="s">
        <v>317</v>
      </c>
      <c r="X30" s="55"/>
      <c r="Y30" s="55"/>
      <c r="Z30" s="55"/>
      <c r="AA30" s="220"/>
      <c r="AB30" s="69"/>
      <c r="AC30" s="44" t="s">
        <v>269</v>
      </c>
      <c r="AD30" s="115" t="str">
        <f>IF($F$60=1,_xlfn.IFS($F68=1,$E$89,$F68=3,$E$90,$F68=6,$E$91,TRUE,""),"")</f>
        <v>・表流水を水源にする場合は，当該河川の水利権を確認してください．</v>
      </c>
      <c r="AE30" s="39"/>
      <c r="AF30" s="39"/>
      <c r="AG30" s="39"/>
      <c r="AH30" s="39"/>
      <c r="AI30" s="41"/>
      <c r="AJ30" s="39"/>
      <c r="AK30" s="68"/>
    </row>
    <row r="31" spans="1:37" ht="18.75" customHeight="1">
      <c r="A31" s="55"/>
      <c r="B31" s="55"/>
      <c r="C31" s="72"/>
      <c r="D31" s="72" t="s">
        <v>349</v>
      </c>
      <c r="E31" s="94"/>
      <c r="F31" s="55"/>
      <c r="G31" s="55"/>
      <c r="H31" s="72"/>
      <c r="I31" s="72" t="s">
        <v>349</v>
      </c>
      <c r="J31" s="94"/>
      <c r="K31" s="55"/>
      <c r="L31" s="55"/>
      <c r="M31" s="55"/>
      <c r="N31" s="55"/>
      <c r="O31" s="72"/>
      <c r="P31" s="72" t="s">
        <v>349</v>
      </c>
      <c r="Q31" s="94"/>
      <c r="R31" s="55"/>
      <c r="S31" s="55"/>
      <c r="T31" s="55"/>
      <c r="U31" s="55"/>
      <c r="V31" s="72"/>
      <c r="W31" s="72" t="s">
        <v>334</v>
      </c>
      <c r="X31" s="55"/>
      <c r="Y31" s="94"/>
      <c r="Z31" s="72" t="s">
        <v>97</v>
      </c>
      <c r="AA31" s="220"/>
      <c r="AB31" s="69"/>
      <c r="AC31" s="44" t="s">
        <v>270</v>
      </c>
      <c r="AD31" s="115" t="str">
        <f>IF($F$60=1,_xlfn.IFS($F69=1,$E$89,$F69=3,$E$90,$F69=6,$E$91,TRUE,""),"")</f>
        <v/>
      </c>
      <c r="AE31" s="39"/>
      <c r="AF31" s="39"/>
      <c r="AG31" s="39"/>
      <c r="AH31" s="39"/>
      <c r="AI31" s="41"/>
      <c r="AJ31" s="39"/>
      <c r="AK31" s="39"/>
    </row>
    <row r="32" spans="1:37" ht="18.75" customHeight="1">
      <c r="A32" s="55"/>
      <c r="B32" s="55"/>
      <c r="C32" s="72"/>
      <c r="D32" s="72" t="s">
        <v>350</v>
      </c>
      <c r="E32" s="94"/>
      <c r="F32" s="55"/>
      <c r="G32" s="55"/>
      <c r="H32" s="72"/>
      <c r="I32" s="72" t="s">
        <v>350</v>
      </c>
      <c r="J32" s="94"/>
      <c r="K32" s="55"/>
      <c r="L32" s="55"/>
      <c r="M32" s="55"/>
      <c r="N32" s="55"/>
      <c r="O32" s="72"/>
      <c r="P32" s="72" t="s">
        <v>350</v>
      </c>
      <c r="Q32" s="94"/>
      <c r="R32" s="55"/>
      <c r="S32" s="55"/>
      <c r="T32" s="55"/>
      <c r="U32" s="55"/>
      <c r="V32" s="72"/>
      <c r="W32" s="72" t="s">
        <v>343</v>
      </c>
      <c r="X32" s="55"/>
      <c r="Y32" s="55"/>
      <c r="Z32" s="55"/>
      <c r="AA32" s="220"/>
      <c r="AB32" s="69"/>
      <c r="AC32" s="44" t="s">
        <v>271</v>
      </c>
      <c r="AD32" s="115" t="str">
        <f>IF($F$60=1,_xlfn.IFS($F70=1,$E$89,$F70=3,$E$90,$F70=6,$E$91,TRUE,""),"")</f>
        <v/>
      </c>
      <c r="AE32" s="39"/>
      <c r="AF32" s="39"/>
      <c r="AG32" s="39"/>
      <c r="AH32" s="39"/>
      <c r="AI32" s="39"/>
      <c r="AJ32" s="39"/>
      <c r="AK32" s="39"/>
    </row>
    <row r="33" spans="1:37" ht="18.75" customHeight="1">
      <c r="A33" s="55"/>
      <c r="B33" s="55"/>
      <c r="C33" s="72"/>
      <c r="D33" s="72" t="s">
        <v>351</v>
      </c>
      <c r="E33" s="94"/>
      <c r="F33" s="55"/>
      <c r="G33" s="55"/>
      <c r="H33" s="72"/>
      <c r="I33" s="72" t="s">
        <v>351</v>
      </c>
      <c r="J33" s="94"/>
      <c r="K33" s="55"/>
      <c r="L33" s="55"/>
      <c r="M33" s="55"/>
      <c r="N33" s="55"/>
      <c r="O33" s="72"/>
      <c r="P33" s="72" t="s">
        <v>351</v>
      </c>
      <c r="Q33" s="94"/>
      <c r="R33" s="55"/>
      <c r="S33" s="55"/>
      <c r="T33" s="55"/>
      <c r="U33" s="55"/>
      <c r="V33" s="72"/>
      <c r="W33" s="72" t="s">
        <v>333</v>
      </c>
      <c r="X33" s="55"/>
      <c r="Y33" s="94"/>
      <c r="Z33" s="72" t="s">
        <v>97</v>
      </c>
      <c r="AA33" s="220"/>
      <c r="AB33" s="69"/>
      <c r="AC33" s="44" t="s">
        <v>272</v>
      </c>
      <c r="AD33" s="115" t="str">
        <f>IF($F$60=1,_xlfn.IFS($F71=1,$E$89,$F71=3,$E$90,$F71=6,$E$91,TRUE,""),"")</f>
        <v/>
      </c>
      <c r="AE33" s="39"/>
      <c r="AF33" s="39"/>
      <c r="AG33" s="39"/>
      <c r="AH33" s="39"/>
      <c r="AI33" s="39"/>
      <c r="AJ33" s="39"/>
      <c r="AK33" s="39"/>
    </row>
    <row r="34" spans="1:37" ht="18.75" customHeight="1">
      <c r="A34" s="55"/>
      <c r="B34" s="55"/>
      <c r="C34" s="72"/>
      <c r="D34" s="72" t="s">
        <v>166</v>
      </c>
      <c r="E34" s="94" t="s">
        <v>72</v>
      </c>
      <c r="F34" s="55"/>
      <c r="G34" s="55"/>
      <c r="H34" s="72"/>
      <c r="I34" s="72" t="s">
        <v>166</v>
      </c>
      <c r="J34" s="94" t="s">
        <v>108</v>
      </c>
      <c r="K34" s="55"/>
      <c r="L34" s="55"/>
      <c r="M34" s="55"/>
      <c r="N34" s="55"/>
      <c r="O34" s="72"/>
      <c r="P34" s="72" t="s">
        <v>166</v>
      </c>
      <c r="Q34" s="94"/>
      <c r="R34" s="55"/>
      <c r="S34" s="55"/>
      <c r="T34" s="55"/>
      <c r="U34" s="55"/>
      <c r="V34" s="72"/>
      <c r="W34" s="72" t="s">
        <v>342</v>
      </c>
      <c r="X34" s="55"/>
      <c r="Y34" s="55"/>
      <c r="Z34" s="55"/>
      <c r="AA34" s="220"/>
      <c r="AB34" s="69"/>
      <c r="AC34" s="44" t="s">
        <v>273</v>
      </c>
      <c r="AD34" s="115" t="str">
        <f>IF($F$60=1,_xlfn.IFS($F72=1,$E$94,$F72=2,$E$95,$F72=3,$E$96,$F72=5,$E$97,TRUE,""),"")</f>
        <v/>
      </c>
      <c r="AE34" s="39"/>
      <c r="AF34" s="39"/>
      <c r="AG34" s="39"/>
      <c r="AH34" s="39"/>
      <c r="AI34" s="39"/>
      <c r="AJ34" s="39"/>
      <c r="AK34" s="39"/>
    </row>
    <row r="35" spans="1:37" ht="18.75" customHeight="1">
      <c r="A35" s="55"/>
      <c r="B35" s="55"/>
      <c r="C35" s="72"/>
      <c r="D35" s="72" t="s">
        <v>352</v>
      </c>
      <c r="E35" s="94"/>
      <c r="F35" s="55"/>
      <c r="G35" s="55"/>
      <c r="H35" s="72"/>
      <c r="I35" s="72" t="s">
        <v>352</v>
      </c>
      <c r="J35" s="94"/>
      <c r="K35" s="55"/>
      <c r="L35" s="55"/>
      <c r="M35" s="55"/>
      <c r="N35" s="55"/>
      <c r="O35" s="72"/>
      <c r="P35" s="72" t="s">
        <v>352</v>
      </c>
      <c r="Q35" s="94"/>
      <c r="R35" s="55"/>
      <c r="S35" s="55"/>
      <c r="T35" s="55"/>
      <c r="U35" s="55"/>
      <c r="V35" s="72"/>
      <c r="W35" s="72" t="s">
        <v>316</v>
      </c>
      <c r="X35" s="55"/>
      <c r="Y35" s="55"/>
      <c r="Z35" s="55"/>
      <c r="AA35" s="220"/>
      <c r="AB35" s="69"/>
      <c r="AC35" s="44" t="s">
        <v>274</v>
      </c>
      <c r="AD35" s="115" t="str">
        <f>IF($F$60=1,_xlfn.IFS($F73=1,$E$94,$F73=2,$E$95,$F73=3,$E$96,$F73=5,$E$97,TRUE,""),"")</f>
        <v/>
      </c>
      <c r="AE35" s="39"/>
      <c r="AF35" s="39"/>
      <c r="AG35" s="39"/>
      <c r="AH35" s="39"/>
      <c r="AI35" s="41"/>
      <c r="AJ35" s="39"/>
      <c r="AK35" s="39"/>
    </row>
    <row r="36" spans="1:37" ht="18.75" customHeight="1">
      <c r="A36" s="55"/>
      <c r="B36" s="55"/>
      <c r="C36" s="72"/>
      <c r="D36" s="72" t="s">
        <v>353</v>
      </c>
      <c r="E36" s="94"/>
      <c r="F36" s="55"/>
      <c r="G36" s="55"/>
      <c r="H36" s="72"/>
      <c r="I36" s="72" t="s">
        <v>353</v>
      </c>
      <c r="J36" s="94"/>
      <c r="K36" s="55"/>
      <c r="L36" s="55"/>
      <c r="M36" s="55"/>
      <c r="N36" s="55"/>
      <c r="O36" s="72"/>
      <c r="P36" s="72" t="s">
        <v>353</v>
      </c>
      <c r="Q36" s="94"/>
      <c r="R36" s="55"/>
      <c r="S36" s="55"/>
      <c r="T36" s="55"/>
      <c r="U36" s="55"/>
      <c r="V36" s="72"/>
      <c r="W36" s="72" t="s">
        <v>331</v>
      </c>
      <c r="X36" s="55"/>
      <c r="Y36" s="94"/>
      <c r="Z36" s="72" t="s">
        <v>97</v>
      </c>
      <c r="AA36" s="220"/>
      <c r="AB36" s="69"/>
      <c r="AC36" s="44" t="s">
        <v>275</v>
      </c>
      <c r="AD36" s="115" t="str">
        <f>IF($F$60=1,_xlfn.IFS($F74=1,$E$94,$F74=2,$E$95,$F74=3,$E$96,$F74=5,$E$97,TRUE,""),"")</f>
        <v/>
      </c>
      <c r="AE36" s="39"/>
      <c r="AF36" s="39"/>
      <c r="AG36" s="39"/>
      <c r="AH36" s="39"/>
      <c r="AI36" s="41"/>
      <c r="AJ36" s="39"/>
      <c r="AK36" s="39"/>
    </row>
    <row r="37" spans="1:37" ht="18.75" customHeight="1">
      <c r="A37" s="55"/>
      <c r="B37" s="55"/>
      <c r="C37" s="72"/>
      <c r="D37" s="72" t="s">
        <v>354</v>
      </c>
      <c r="E37" s="94"/>
      <c r="F37" s="55"/>
      <c r="G37" s="55"/>
      <c r="H37" s="72"/>
      <c r="I37" s="72" t="s">
        <v>354</v>
      </c>
      <c r="J37" s="94"/>
      <c r="K37" s="55"/>
      <c r="L37" s="55"/>
      <c r="M37" s="55"/>
      <c r="N37" s="55"/>
      <c r="O37" s="72"/>
      <c r="P37" s="72" t="s">
        <v>354</v>
      </c>
      <c r="Q37" s="94"/>
      <c r="R37" s="55"/>
      <c r="S37" s="55"/>
      <c r="T37" s="55"/>
      <c r="U37" s="55"/>
      <c r="V37" s="72"/>
      <c r="W37" s="72" t="s">
        <v>641</v>
      </c>
      <c r="X37" s="55"/>
      <c r="Y37" s="55"/>
      <c r="Z37" s="55"/>
      <c r="AA37" s="220"/>
      <c r="AB37" s="69"/>
      <c r="AC37" s="44" t="s">
        <v>276</v>
      </c>
      <c r="AD37" s="115" t="str">
        <f>IF($F$60=1,_xlfn.IFS($F75=1,$E$94,$F75=2,$E$95,$F75=3,$E$96,$F75=5,$E$97,TRUE,""),"")</f>
        <v/>
      </c>
      <c r="AE37" s="39"/>
      <c r="AF37" s="39"/>
      <c r="AG37" s="39"/>
      <c r="AH37" s="39"/>
      <c r="AI37" s="41"/>
      <c r="AJ37" s="39"/>
      <c r="AK37" s="39"/>
    </row>
    <row r="38" spans="1:37" ht="18.75" customHeight="1">
      <c r="A38" s="55"/>
      <c r="B38" s="55"/>
      <c r="C38" s="72"/>
      <c r="D38" s="72" t="s">
        <v>167</v>
      </c>
      <c r="E38" s="94">
        <v>1</v>
      </c>
      <c r="F38" s="55"/>
      <c r="G38" s="55"/>
      <c r="H38" s="72"/>
      <c r="I38" s="72" t="s">
        <v>167</v>
      </c>
      <c r="J38" s="94">
        <v>1</v>
      </c>
      <c r="K38" s="55"/>
      <c r="L38" s="55"/>
      <c r="M38" s="55"/>
      <c r="N38" s="55"/>
      <c r="O38" s="72"/>
      <c r="P38" s="72" t="s">
        <v>167</v>
      </c>
      <c r="Q38" s="94"/>
      <c r="R38" s="55"/>
      <c r="S38" s="55"/>
      <c r="T38" s="55"/>
      <c r="U38" s="55"/>
      <c r="V38" s="72"/>
      <c r="W38" s="72" t="s">
        <v>330</v>
      </c>
      <c r="X38" s="55"/>
      <c r="Y38" s="94"/>
      <c r="Z38" s="72" t="s">
        <v>97</v>
      </c>
      <c r="AA38" s="220"/>
      <c r="AB38" s="69"/>
      <c r="AC38" s="44" t="s">
        <v>339</v>
      </c>
      <c r="AD38" s="115" t="str">
        <f>IF($F$60=4,$E$100,"")</f>
        <v/>
      </c>
      <c r="AE38" s="39"/>
      <c r="AF38" s="39"/>
      <c r="AG38" s="39"/>
      <c r="AH38" s="39"/>
      <c r="AI38" s="41"/>
      <c r="AJ38" s="39"/>
      <c r="AK38" s="39"/>
    </row>
    <row r="39" spans="1:37" ht="18.75" customHeight="1">
      <c r="A39" s="55"/>
      <c r="B39" s="55"/>
      <c r="C39" s="55"/>
      <c r="D39" s="55"/>
      <c r="E39" s="55"/>
      <c r="F39" s="55"/>
      <c r="G39" s="55"/>
      <c r="H39" s="72"/>
      <c r="I39" s="75" t="s">
        <v>284</v>
      </c>
      <c r="J39" s="55"/>
      <c r="K39" s="55"/>
      <c r="L39" s="55"/>
      <c r="M39" s="55"/>
      <c r="N39" s="58"/>
      <c r="O39" s="55"/>
      <c r="P39" s="75" t="s">
        <v>284</v>
      </c>
      <c r="Q39" s="60"/>
      <c r="R39" s="55"/>
      <c r="S39" s="55"/>
      <c r="T39" s="55"/>
      <c r="U39" s="55"/>
      <c r="V39" s="72"/>
      <c r="W39" s="72" t="s">
        <v>332</v>
      </c>
      <c r="X39" s="55"/>
      <c r="Y39" s="55"/>
      <c r="Z39" s="55"/>
      <c r="AA39" s="220"/>
      <c r="AB39" s="66"/>
      <c r="AC39" s="44" t="s">
        <v>340</v>
      </c>
      <c r="AD39" s="115" t="str">
        <f>IF($F$60=4,$E$101,"")</f>
        <v/>
      </c>
      <c r="AE39" s="39"/>
      <c r="AF39" s="39"/>
      <c r="AG39" s="39"/>
      <c r="AH39" s="39"/>
      <c r="AI39" s="41"/>
      <c r="AJ39" s="39"/>
      <c r="AK39" s="39"/>
    </row>
    <row r="40" spans="1:37" ht="18.75" customHeight="1">
      <c r="A40" s="55"/>
      <c r="B40" s="55"/>
      <c r="C40" s="55"/>
      <c r="D40" s="55"/>
      <c r="E40" s="55"/>
      <c r="F40" s="55"/>
      <c r="G40" s="55"/>
      <c r="H40" s="72"/>
      <c r="I40" s="75"/>
      <c r="J40" s="55"/>
      <c r="K40" s="55"/>
      <c r="L40" s="55"/>
      <c r="M40" s="55"/>
      <c r="N40" s="58"/>
      <c r="O40" s="58" t="s">
        <v>584</v>
      </c>
      <c r="P40" s="55"/>
      <c r="Q40" s="60"/>
      <c r="R40" s="55"/>
      <c r="S40" s="55"/>
      <c r="T40" s="55"/>
      <c r="U40" s="55"/>
      <c r="V40" s="72"/>
      <c r="W40" s="75"/>
      <c r="X40" s="55"/>
      <c r="Y40" s="55"/>
      <c r="Z40" s="55"/>
      <c r="AA40" s="220"/>
      <c r="AB40" s="66"/>
      <c r="AC40" s="44" t="s">
        <v>341</v>
      </c>
      <c r="AD40" s="115" t="str">
        <f>IF($F$60=4,$E$102,"")</f>
        <v/>
      </c>
      <c r="AE40" s="39"/>
      <c r="AF40" s="39"/>
      <c r="AG40" s="39"/>
      <c r="AH40" s="39"/>
      <c r="AI40" s="41"/>
      <c r="AJ40" s="39"/>
      <c r="AK40" s="39"/>
    </row>
    <row r="41" spans="1:37" ht="18.75" customHeight="1">
      <c r="A41" s="55"/>
      <c r="B41" s="55"/>
      <c r="C41" s="55"/>
      <c r="D41" s="55"/>
      <c r="E41" s="55"/>
      <c r="F41" s="55"/>
      <c r="G41" s="55"/>
      <c r="H41" s="72" t="s">
        <v>168</v>
      </c>
      <c r="I41" s="72"/>
      <c r="J41" s="55"/>
      <c r="K41" s="55"/>
      <c r="L41" s="55"/>
      <c r="M41" s="55"/>
      <c r="N41" s="55"/>
      <c r="O41" s="72" t="s">
        <v>168</v>
      </c>
      <c r="P41" s="55"/>
      <c r="Q41" s="60"/>
      <c r="R41" s="55"/>
      <c r="S41" s="55"/>
      <c r="T41" s="55"/>
      <c r="U41" s="55"/>
      <c r="V41" s="72" t="s">
        <v>168</v>
      </c>
      <c r="W41" s="72"/>
      <c r="X41" s="55"/>
      <c r="Y41" s="55"/>
      <c r="Z41" s="55"/>
      <c r="AA41" s="220"/>
      <c r="AB41" s="66"/>
      <c r="AC41" s="39"/>
      <c r="AD41" s="39"/>
      <c r="AE41" s="39"/>
      <c r="AF41" s="39"/>
      <c r="AG41" s="39"/>
      <c r="AH41" s="39"/>
      <c r="AI41" s="41"/>
      <c r="AJ41" s="39"/>
      <c r="AK41" s="39"/>
    </row>
    <row r="42" spans="1:37" ht="18.75" customHeight="1">
      <c r="A42" s="55"/>
      <c r="B42" s="55"/>
      <c r="C42" s="55"/>
      <c r="D42" s="55"/>
      <c r="E42" s="55"/>
      <c r="F42" s="55"/>
      <c r="G42" s="55"/>
      <c r="H42" s="72"/>
      <c r="I42" s="72" t="s">
        <v>282</v>
      </c>
      <c r="J42" s="96" t="s">
        <v>564</v>
      </c>
      <c r="K42" s="96">
        <v>500</v>
      </c>
      <c r="L42" s="72" t="s">
        <v>86</v>
      </c>
      <c r="M42" s="55"/>
      <c r="N42" s="55"/>
      <c r="O42" s="55"/>
      <c r="P42" s="72"/>
      <c r="Q42" s="165"/>
      <c r="R42" s="166"/>
      <c r="S42" s="72"/>
      <c r="T42" s="72"/>
      <c r="U42" s="55"/>
      <c r="V42" s="72"/>
      <c r="W42" s="72" t="s">
        <v>319</v>
      </c>
      <c r="X42" s="55"/>
      <c r="Y42" s="55"/>
      <c r="Z42" s="72"/>
      <c r="AA42" s="220"/>
      <c r="AB42" s="66"/>
      <c r="AC42" s="39"/>
      <c r="AD42" s="39"/>
      <c r="AE42" s="39"/>
      <c r="AF42" s="39"/>
      <c r="AG42" s="39"/>
      <c r="AH42" s="39"/>
      <c r="AI42" s="41"/>
      <c r="AJ42" s="39"/>
      <c r="AK42" s="39"/>
    </row>
    <row r="43" spans="1:37" ht="18.75" customHeight="1">
      <c r="A43" s="55"/>
      <c r="B43" s="55"/>
      <c r="C43" s="55"/>
      <c r="D43" s="55"/>
      <c r="E43" s="55"/>
      <c r="F43" s="55"/>
      <c r="G43" s="55"/>
      <c r="H43" s="72"/>
      <c r="I43" s="72" t="s">
        <v>378</v>
      </c>
      <c r="J43" s="96" t="s">
        <v>562</v>
      </c>
      <c r="K43" s="96">
        <v>1000</v>
      </c>
      <c r="L43" s="72" t="s">
        <v>86</v>
      </c>
      <c r="M43" s="55"/>
      <c r="N43" s="55"/>
      <c r="O43" s="55"/>
      <c r="P43" s="72" t="s">
        <v>378</v>
      </c>
      <c r="Q43" s="163"/>
      <c r="R43" s="164"/>
      <c r="S43" s="72" t="s">
        <v>86</v>
      </c>
      <c r="T43" s="72"/>
      <c r="U43" s="55"/>
      <c r="V43" s="72"/>
      <c r="W43" s="72" t="s">
        <v>323</v>
      </c>
      <c r="X43" s="85" t="s">
        <v>638</v>
      </c>
      <c r="Y43" s="85">
        <f>$Y$31</f>
        <v>0</v>
      </c>
      <c r="Z43" s="72" t="s">
        <v>106</v>
      </c>
      <c r="AA43" s="220"/>
      <c r="AB43" s="66"/>
      <c r="AC43" s="39"/>
      <c r="AD43" s="39"/>
      <c r="AE43" s="39"/>
      <c r="AF43" s="39"/>
      <c r="AG43" s="39"/>
      <c r="AH43" s="39"/>
      <c r="AI43" s="41"/>
      <c r="AJ43" s="39"/>
      <c r="AK43" s="39"/>
    </row>
    <row r="44" spans="1:37" ht="18.75" customHeight="1">
      <c r="A44" s="55"/>
      <c r="B44" s="55"/>
      <c r="C44" s="55"/>
      <c r="D44" s="55"/>
      <c r="E44" s="55"/>
      <c r="F44" s="55"/>
      <c r="G44" s="55"/>
      <c r="H44" s="72"/>
      <c r="I44" s="72" t="s">
        <v>379</v>
      </c>
      <c r="J44" s="96" t="s">
        <v>560</v>
      </c>
      <c r="K44" s="96">
        <v>1000</v>
      </c>
      <c r="L44" s="72" t="s">
        <v>86</v>
      </c>
      <c r="M44" s="55"/>
      <c r="N44" s="55"/>
      <c r="O44" s="55"/>
      <c r="P44" s="72" t="s">
        <v>379</v>
      </c>
      <c r="Q44" s="98"/>
      <c r="R44" s="96"/>
      <c r="S44" s="72" t="s">
        <v>86</v>
      </c>
      <c r="T44" s="72"/>
      <c r="U44" s="55"/>
      <c r="V44" s="72"/>
      <c r="W44" s="72" t="s">
        <v>419</v>
      </c>
      <c r="X44" s="96"/>
      <c r="Y44" s="96"/>
      <c r="Z44" s="72" t="s">
        <v>86</v>
      </c>
      <c r="AA44" s="220"/>
      <c r="AB44" s="66"/>
      <c r="AC44" s="39"/>
      <c r="AD44" s="39"/>
      <c r="AE44" s="39"/>
      <c r="AF44" s="39"/>
      <c r="AG44" s="39"/>
      <c r="AH44" s="39"/>
      <c r="AI44" s="41"/>
      <c r="AJ44" s="39"/>
      <c r="AK44" s="39"/>
    </row>
    <row r="45" spans="1:37" ht="18.75" customHeight="1">
      <c r="A45" s="55"/>
      <c r="B45" s="55"/>
      <c r="C45" s="55"/>
      <c r="D45" s="55"/>
      <c r="E45" s="55"/>
      <c r="F45" s="55"/>
      <c r="G45" s="55"/>
      <c r="H45" s="72"/>
      <c r="I45" s="72" t="s">
        <v>380</v>
      </c>
      <c r="J45" s="96"/>
      <c r="K45" s="96"/>
      <c r="L45" s="72" t="s">
        <v>86</v>
      </c>
      <c r="M45" s="55"/>
      <c r="N45" s="55"/>
      <c r="O45" s="55"/>
      <c r="P45" s="72" t="s">
        <v>380</v>
      </c>
      <c r="Q45" s="98"/>
      <c r="R45" s="96"/>
      <c r="S45" s="72" t="s">
        <v>86</v>
      </c>
      <c r="T45" s="72"/>
      <c r="U45" s="55"/>
      <c r="V45" s="72"/>
      <c r="W45" s="72" t="s">
        <v>320</v>
      </c>
      <c r="X45" s="55"/>
      <c r="Y45" s="55"/>
      <c r="Z45" s="72"/>
      <c r="AA45" s="220"/>
      <c r="AB45" s="66"/>
      <c r="AC45" s="39"/>
      <c r="AD45" s="39"/>
      <c r="AE45" s="39"/>
      <c r="AF45" s="39"/>
      <c r="AG45" s="41"/>
      <c r="AH45" s="39"/>
      <c r="AI45" s="39"/>
      <c r="AJ45" s="39"/>
      <c r="AK45" s="39"/>
    </row>
    <row r="46" spans="1:37" ht="18.75" customHeight="1">
      <c r="A46" s="55"/>
      <c r="B46" s="55"/>
      <c r="C46" s="55"/>
      <c r="D46" s="55"/>
      <c r="E46" s="55"/>
      <c r="F46" s="55"/>
      <c r="G46" s="55"/>
      <c r="H46" s="72"/>
      <c r="I46" s="72" t="s">
        <v>302</v>
      </c>
      <c r="J46" s="96" t="s">
        <v>100</v>
      </c>
      <c r="K46" s="96">
        <v>1</v>
      </c>
      <c r="L46" s="72" t="s">
        <v>106</v>
      </c>
      <c r="M46" s="55"/>
      <c r="N46" s="55"/>
      <c r="O46" s="55"/>
      <c r="P46" s="72" t="s">
        <v>76</v>
      </c>
      <c r="Q46" s="98"/>
      <c r="R46" s="96"/>
      <c r="S46" s="72" t="s">
        <v>96</v>
      </c>
      <c r="T46" s="72"/>
      <c r="U46" s="55"/>
      <c r="V46" s="72"/>
      <c r="W46" s="72" t="s">
        <v>324</v>
      </c>
      <c r="X46" s="85" t="s">
        <v>638</v>
      </c>
      <c r="Y46" s="85">
        <f>$Y$33</f>
        <v>0</v>
      </c>
      <c r="Z46" s="72" t="s">
        <v>106</v>
      </c>
      <c r="AA46" s="220"/>
      <c r="AB46" s="66"/>
      <c r="AC46" s="39"/>
      <c r="AD46" s="39"/>
      <c r="AE46" s="39"/>
      <c r="AF46" s="39"/>
      <c r="AG46" s="41"/>
      <c r="AH46" s="39"/>
      <c r="AI46" s="39"/>
      <c r="AJ46" s="39"/>
      <c r="AK46" s="39"/>
    </row>
    <row r="47" spans="1:37" ht="18.75" customHeight="1">
      <c r="A47" s="55"/>
      <c r="B47" s="55"/>
      <c r="C47" s="55"/>
      <c r="D47" s="55"/>
      <c r="E47" s="55"/>
      <c r="F47" s="55"/>
      <c r="G47" s="55"/>
      <c r="H47" s="72"/>
      <c r="I47" s="72" t="s">
        <v>303</v>
      </c>
      <c r="J47" s="96" t="s">
        <v>108</v>
      </c>
      <c r="K47" s="96">
        <v>1</v>
      </c>
      <c r="L47" s="72" t="s">
        <v>106</v>
      </c>
      <c r="M47" s="55"/>
      <c r="N47" s="55"/>
      <c r="O47" s="55"/>
      <c r="P47" s="72" t="s">
        <v>283</v>
      </c>
      <c r="Q47" s="98"/>
      <c r="R47" s="96"/>
      <c r="S47" s="72" t="s">
        <v>97</v>
      </c>
      <c r="T47" s="72"/>
      <c r="U47" s="55"/>
      <c r="V47" s="72"/>
      <c r="W47" s="72" t="s">
        <v>325</v>
      </c>
      <c r="X47" s="85" t="s">
        <v>52</v>
      </c>
      <c r="Y47" s="85">
        <f>$Y$33</f>
        <v>0</v>
      </c>
      <c r="Z47" s="72" t="s">
        <v>106</v>
      </c>
      <c r="AA47" s="220"/>
      <c r="AB47" s="66"/>
      <c r="AC47" s="39"/>
      <c r="AD47" s="39"/>
      <c r="AE47" s="39"/>
      <c r="AF47" s="39"/>
      <c r="AG47" s="41"/>
      <c r="AH47" s="39"/>
      <c r="AI47" s="39"/>
      <c r="AJ47" s="39"/>
      <c r="AK47" s="39"/>
    </row>
    <row r="48" spans="1:37" ht="18.75" customHeight="1">
      <c r="A48" s="55"/>
      <c r="B48" s="55"/>
      <c r="C48" s="55"/>
      <c r="D48" s="55"/>
      <c r="E48" s="55"/>
      <c r="F48" s="55"/>
      <c r="G48" s="55"/>
      <c r="H48" s="72"/>
      <c r="I48" s="72" t="s">
        <v>304</v>
      </c>
      <c r="J48" s="96" t="s">
        <v>89</v>
      </c>
      <c r="K48" s="96">
        <v>1</v>
      </c>
      <c r="L48" s="72" t="s">
        <v>96</v>
      </c>
      <c r="M48" s="55"/>
      <c r="N48" s="55"/>
      <c r="O48" s="55"/>
      <c r="P48" s="55"/>
      <c r="Q48" s="162"/>
      <c r="R48" s="161"/>
      <c r="S48" s="72"/>
      <c r="T48" s="72"/>
      <c r="U48" s="55"/>
      <c r="V48" s="72"/>
      <c r="W48" s="72" t="s">
        <v>420</v>
      </c>
      <c r="X48" s="96"/>
      <c r="Y48" s="96"/>
      <c r="Z48" s="72" t="s">
        <v>86</v>
      </c>
      <c r="AA48" s="220"/>
      <c r="AB48" s="66"/>
      <c r="AC48" s="39"/>
      <c r="AD48" s="39"/>
      <c r="AE48" s="39"/>
      <c r="AF48" s="39"/>
      <c r="AG48" s="39"/>
      <c r="AH48" s="41"/>
      <c r="AI48" s="39"/>
      <c r="AJ48" s="39"/>
      <c r="AK48" s="39"/>
    </row>
    <row r="49" spans="1:37" ht="18.75" customHeight="1">
      <c r="A49" s="55"/>
      <c r="B49" s="55"/>
      <c r="C49" s="55"/>
      <c r="D49" s="55"/>
      <c r="E49" s="55"/>
      <c r="F49" s="55"/>
      <c r="G49" s="55"/>
      <c r="H49" s="72"/>
      <c r="I49" s="72" t="s">
        <v>306</v>
      </c>
      <c r="J49" s="96" t="s">
        <v>91</v>
      </c>
      <c r="K49" s="96">
        <v>2</v>
      </c>
      <c r="L49" s="72" t="s">
        <v>97</v>
      </c>
      <c r="M49" s="55"/>
      <c r="N49" s="55"/>
      <c r="O49" s="72" t="s">
        <v>188</v>
      </c>
      <c r="P49" s="72"/>
      <c r="Q49" s="55"/>
      <c r="R49" s="55"/>
      <c r="S49" s="72"/>
      <c r="T49" s="72"/>
      <c r="U49" s="55"/>
      <c r="V49" s="72"/>
      <c r="W49" s="72" t="s">
        <v>321</v>
      </c>
      <c r="X49" s="55"/>
      <c r="Y49" s="55"/>
      <c r="Z49" s="72"/>
      <c r="AA49" s="220"/>
      <c r="AB49" s="66"/>
      <c r="AC49" s="39"/>
      <c r="AD49" s="39"/>
      <c r="AE49" s="39"/>
      <c r="AF49" s="39"/>
      <c r="AG49" s="39"/>
      <c r="AH49" s="41"/>
      <c r="AI49" s="39"/>
      <c r="AJ49" s="39"/>
      <c r="AK49" s="39"/>
    </row>
    <row r="50" spans="1:37" ht="18.75" customHeight="1">
      <c r="A50" s="55"/>
      <c r="B50" s="55"/>
      <c r="C50" s="55"/>
      <c r="D50" s="55"/>
      <c r="E50" s="55"/>
      <c r="F50" s="55"/>
      <c r="G50" s="55"/>
      <c r="H50" s="55"/>
      <c r="I50" s="72" t="s">
        <v>402</v>
      </c>
      <c r="J50" s="96"/>
      <c r="K50" s="96"/>
      <c r="L50" s="72" t="s">
        <v>106</v>
      </c>
      <c r="M50" s="55"/>
      <c r="N50" s="55"/>
      <c r="O50" s="72"/>
      <c r="P50" s="72" t="s">
        <v>189</v>
      </c>
      <c r="Q50" s="97"/>
      <c r="R50" s="55"/>
      <c r="S50" s="55"/>
      <c r="T50" s="55"/>
      <c r="U50" s="55"/>
      <c r="V50" s="55"/>
      <c r="W50" s="72" t="s">
        <v>326</v>
      </c>
      <c r="X50" s="85" t="s">
        <v>640</v>
      </c>
      <c r="Y50" s="85">
        <f>$Y$36</f>
        <v>0</v>
      </c>
      <c r="Z50" s="72" t="s">
        <v>106</v>
      </c>
      <c r="AA50" s="220"/>
      <c r="AB50" s="66"/>
      <c r="AC50" s="39"/>
      <c r="AD50" s="39"/>
      <c r="AE50" s="39"/>
      <c r="AF50" s="39"/>
      <c r="AG50" s="39"/>
      <c r="AH50" s="41"/>
      <c r="AI50" s="39"/>
      <c r="AJ50" s="39"/>
      <c r="AK50" s="39"/>
    </row>
    <row r="51" spans="1:37" ht="19.5">
      <c r="A51" s="55"/>
      <c r="B51" s="55"/>
      <c r="C51" s="55"/>
      <c r="D51" s="55"/>
      <c r="E51" s="55"/>
      <c r="F51" s="55"/>
      <c r="G51" s="55"/>
      <c r="H51" s="55"/>
      <c r="I51" s="72" t="s">
        <v>403</v>
      </c>
      <c r="J51" s="96"/>
      <c r="K51" s="96"/>
      <c r="L51" s="72" t="s">
        <v>106</v>
      </c>
      <c r="M51" s="55"/>
      <c r="N51" s="55"/>
      <c r="O51" s="72"/>
      <c r="P51" s="72" t="s">
        <v>187</v>
      </c>
      <c r="Q51" s="97"/>
      <c r="R51" s="55"/>
      <c r="S51" s="55"/>
      <c r="T51" s="55"/>
      <c r="U51" s="55"/>
      <c r="V51" s="55"/>
      <c r="W51" s="72" t="s">
        <v>421</v>
      </c>
      <c r="X51" s="96"/>
      <c r="Y51" s="96"/>
      <c r="Z51" s="72" t="s">
        <v>86</v>
      </c>
      <c r="AA51" s="220"/>
      <c r="AB51" s="66"/>
      <c r="AC51" s="39"/>
      <c r="AD51" s="39"/>
      <c r="AE51" s="39"/>
      <c r="AF51" s="39"/>
      <c r="AG51" s="39"/>
      <c r="AH51" s="39"/>
      <c r="AI51" s="41"/>
      <c r="AJ51" s="39"/>
      <c r="AK51" s="39"/>
    </row>
    <row r="52" spans="1:37" ht="19.5">
      <c r="A52" s="55"/>
      <c r="B52" s="55"/>
      <c r="C52" s="55"/>
      <c r="D52" s="55"/>
      <c r="E52" s="55"/>
      <c r="F52" s="55"/>
      <c r="G52" s="55"/>
      <c r="H52" s="55"/>
      <c r="I52" s="72" t="s">
        <v>404</v>
      </c>
      <c r="J52" s="96"/>
      <c r="K52" s="96"/>
      <c r="L52" s="72" t="s">
        <v>96</v>
      </c>
      <c r="M52" s="55"/>
      <c r="N52" s="55"/>
      <c r="O52" s="55"/>
      <c r="P52" s="55"/>
      <c r="Q52" s="162"/>
      <c r="R52" s="161"/>
      <c r="S52" s="55"/>
      <c r="T52" s="55"/>
      <c r="U52" s="55"/>
      <c r="V52" s="55"/>
      <c r="W52" s="72" t="s">
        <v>322</v>
      </c>
      <c r="X52" s="55"/>
      <c r="Y52" s="55"/>
      <c r="Z52" s="72"/>
      <c r="AA52" s="220"/>
      <c r="AB52" s="66"/>
      <c r="AC52" s="39"/>
      <c r="AD52" s="39"/>
      <c r="AE52" s="39"/>
      <c r="AF52" s="39"/>
      <c r="AG52" s="39"/>
      <c r="AH52" s="39"/>
      <c r="AI52" s="41"/>
      <c r="AJ52" s="39"/>
      <c r="AK52" s="39"/>
    </row>
    <row r="53" spans="1:37" ht="19.5">
      <c r="A53" s="55"/>
      <c r="B53" s="55"/>
      <c r="C53" s="55"/>
      <c r="D53" s="55"/>
      <c r="E53" s="55"/>
      <c r="F53" s="55"/>
      <c r="G53" s="55"/>
      <c r="H53" s="55"/>
      <c r="I53" s="72" t="s">
        <v>405</v>
      </c>
      <c r="J53" s="96"/>
      <c r="K53" s="96"/>
      <c r="L53" s="72" t="s">
        <v>97</v>
      </c>
      <c r="M53" s="55"/>
      <c r="N53" s="55"/>
      <c r="O53" s="72" t="s">
        <v>578</v>
      </c>
      <c r="P53" s="55"/>
      <c r="Q53" s="55"/>
      <c r="R53" s="55"/>
      <c r="S53" s="55"/>
      <c r="T53" s="55"/>
      <c r="U53" s="55"/>
      <c r="V53" s="55"/>
      <c r="W53" s="72" t="s">
        <v>327</v>
      </c>
      <c r="X53" s="85" t="s">
        <v>639</v>
      </c>
      <c r="Y53" s="85">
        <f>$Y$38</f>
        <v>0</v>
      </c>
      <c r="Z53" s="72" t="s">
        <v>106</v>
      </c>
      <c r="AA53" s="220"/>
      <c r="AB53" s="66"/>
      <c r="AC53" s="39"/>
      <c r="AD53" s="39"/>
      <c r="AE53" s="39"/>
      <c r="AF53" s="39"/>
      <c r="AG53" s="39"/>
      <c r="AH53" s="39"/>
      <c r="AI53" s="41"/>
      <c r="AJ53" s="39"/>
      <c r="AK53" s="39"/>
    </row>
    <row r="54" spans="1:37" ht="19.5">
      <c r="A54" s="55"/>
      <c r="B54" s="55"/>
      <c r="C54" s="55"/>
      <c r="D54" s="55"/>
      <c r="E54" s="55"/>
      <c r="F54" s="55"/>
      <c r="G54" s="55"/>
      <c r="H54" s="55"/>
      <c r="I54" s="75" t="s">
        <v>603</v>
      </c>
      <c r="J54" s="55"/>
      <c r="K54" s="55"/>
      <c r="L54" s="55"/>
      <c r="M54" s="55"/>
      <c r="N54" s="55"/>
      <c r="O54" s="72"/>
      <c r="P54" s="72" t="s">
        <v>579</v>
      </c>
      <c r="Q54" s="161"/>
      <c r="R54" s="55"/>
      <c r="S54" s="55"/>
      <c r="T54" s="55"/>
      <c r="U54" s="55"/>
      <c r="V54" s="55"/>
      <c r="W54" s="72" t="s">
        <v>422</v>
      </c>
      <c r="X54" s="96"/>
      <c r="Y54" s="96"/>
      <c r="Z54" s="72" t="s">
        <v>86</v>
      </c>
      <c r="AA54" s="220"/>
      <c r="AB54" s="66"/>
      <c r="AC54" s="39"/>
      <c r="AD54" s="39"/>
      <c r="AE54" s="39"/>
      <c r="AF54" s="39"/>
      <c r="AG54" s="39"/>
      <c r="AH54" s="39"/>
      <c r="AI54" s="41"/>
      <c r="AJ54" s="39"/>
      <c r="AK54" s="39"/>
    </row>
    <row r="55" spans="1:37" ht="19.5">
      <c r="A55" s="55"/>
      <c r="B55" s="55"/>
      <c r="C55" s="55"/>
      <c r="D55" s="55"/>
      <c r="E55" s="55"/>
      <c r="F55" s="55"/>
      <c r="G55" s="55"/>
      <c r="H55" s="55"/>
      <c r="I55" s="55"/>
      <c r="J55" s="55"/>
      <c r="K55" s="55"/>
      <c r="L55" s="55"/>
      <c r="M55" s="55"/>
      <c r="N55" s="55"/>
      <c r="O55" s="55"/>
      <c r="P55" s="214"/>
      <c r="Q55" s="215"/>
      <c r="R55" s="55"/>
      <c r="S55" s="55"/>
      <c r="T55" s="55"/>
      <c r="U55" s="55"/>
      <c r="V55" s="55"/>
      <c r="W55" s="55"/>
      <c r="X55" s="55"/>
      <c r="Y55" s="55"/>
      <c r="Z55" s="55"/>
      <c r="AA55" s="220"/>
      <c r="AB55" s="66"/>
      <c r="AC55" s="39"/>
      <c r="AD55" s="39"/>
      <c r="AE55" s="39"/>
      <c r="AF55" s="39"/>
      <c r="AG55" s="39"/>
      <c r="AH55" s="39"/>
      <c r="AI55" s="41"/>
      <c r="AJ55" s="39"/>
      <c r="AK55" s="39"/>
    </row>
    <row r="56" spans="1:37" ht="19.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221"/>
      <c r="AB56" s="66"/>
      <c r="AC56" s="39"/>
      <c r="AD56" s="39"/>
      <c r="AE56" s="39"/>
      <c r="AF56" s="39"/>
      <c r="AG56" s="39"/>
      <c r="AH56" s="39"/>
      <c r="AI56" s="41"/>
      <c r="AJ56" s="39"/>
      <c r="AK56" s="39"/>
    </row>
    <row r="57" spans="1:37" ht="19.5" hidden="1">
      <c r="A57" s="39"/>
      <c r="B57" s="39" t="s">
        <v>357</v>
      </c>
      <c r="C57" s="39"/>
      <c r="D57" s="40"/>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41"/>
      <c r="AJ57" s="39"/>
      <c r="AK57" s="39"/>
    </row>
    <row r="58" spans="1:37" ht="19.5" hidden="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1"/>
      <c r="AJ58" s="39"/>
      <c r="AK58" s="39"/>
    </row>
    <row r="59" spans="1:37" ht="19.5" hidden="1">
      <c r="A59" s="39"/>
      <c r="B59" s="39"/>
      <c r="C59" s="39"/>
      <c r="D59" s="42" t="s">
        <v>355</v>
      </c>
      <c r="E59" s="39"/>
      <c r="F59" s="39"/>
      <c r="G59" s="39"/>
      <c r="H59" s="39"/>
      <c r="I59" s="42" t="s">
        <v>224</v>
      </c>
      <c r="J59" s="39"/>
      <c r="K59" s="39"/>
      <c r="L59" s="39"/>
      <c r="M59" s="39"/>
      <c r="N59" s="39"/>
      <c r="O59" s="39"/>
      <c r="P59" s="42" t="s">
        <v>225</v>
      </c>
      <c r="Q59" s="39"/>
      <c r="R59" s="39"/>
      <c r="S59" s="39"/>
      <c r="T59" s="39"/>
      <c r="U59" s="39"/>
      <c r="V59" s="39"/>
      <c r="W59" s="42" t="s">
        <v>337</v>
      </c>
      <c r="X59" s="39"/>
      <c r="Y59" s="39"/>
      <c r="Z59" s="39"/>
      <c r="AA59" s="39"/>
      <c r="AB59" s="42" t="s">
        <v>314</v>
      </c>
      <c r="AC59" s="39"/>
      <c r="AD59" s="39"/>
      <c r="AE59" s="39"/>
      <c r="AF59" s="39"/>
      <c r="AG59" s="39"/>
      <c r="AH59" s="52">
        <f>IF(AH62=1,AH70,IF(AH63=1,AH71,IF(AH64=1,AH72,IF(AH65=1,AH73,""))))</f>
        <v>2019.8859732041299</v>
      </c>
      <c r="AI59" s="41"/>
      <c r="AJ59" s="39"/>
      <c r="AK59" s="39"/>
    </row>
    <row r="60" spans="1:37" ht="19.5" hidden="1">
      <c r="A60" s="39"/>
      <c r="B60" s="39"/>
      <c r="C60" s="39"/>
      <c r="D60" s="39"/>
      <c r="E60" s="39" t="s">
        <v>74</v>
      </c>
      <c r="F60" s="39">
        <f>_xlfn.IFS($J$4=Choices!$B$26,1,$J$4=Choices!$B$27,2,$J$4=Choices!$B$28,3,$J$4=Choices!$B$29,4,TRUE,"")</f>
        <v>1</v>
      </c>
      <c r="G60" s="39"/>
      <c r="H60" s="39"/>
      <c r="I60" s="39" t="s">
        <v>119</v>
      </c>
      <c r="J60" s="43">
        <f>IF($J42="",0,VLOOKUP($J42,IC!$B$6:$E$14,4,FALSE)*$K42)</f>
        <v>6000000</v>
      </c>
      <c r="K60" s="39"/>
      <c r="L60" s="39"/>
      <c r="M60" s="39"/>
      <c r="N60" s="39"/>
      <c r="O60" s="39"/>
      <c r="P60" s="39"/>
      <c r="Q60" s="43"/>
      <c r="R60" s="39"/>
      <c r="S60" s="39"/>
      <c r="T60" s="39"/>
      <c r="U60" s="39"/>
      <c r="V60" s="39"/>
      <c r="W60" s="39" t="s">
        <v>323</v>
      </c>
      <c r="X60" s="43">
        <f>IF($X43="",0,VLOOKUP($X43,IC!$B$17:$E$23,4,FALSE))*$Y43</f>
        <v>0</v>
      </c>
      <c r="Y60" s="39"/>
      <c r="Z60" s="39"/>
      <c r="AA60" s="39"/>
      <c r="AB60" s="39"/>
      <c r="AC60" s="39" t="s">
        <v>254</v>
      </c>
      <c r="AD60" s="39"/>
      <c r="AE60" s="39"/>
      <c r="AF60" s="39"/>
      <c r="AG60" s="39"/>
      <c r="AH60" s="54" t="s">
        <v>251</v>
      </c>
      <c r="AI60" s="41"/>
      <c r="AJ60" s="39"/>
      <c r="AK60" s="39"/>
    </row>
    <row r="61" spans="1:37" ht="19.5" hidden="1">
      <c r="A61" s="39"/>
      <c r="B61" s="39"/>
      <c r="C61" s="39"/>
      <c r="D61" s="39"/>
      <c r="E61" s="39" t="s">
        <v>263</v>
      </c>
      <c r="F61" s="39">
        <f>IF($F$60=1,_xlfn.IFS(AND($E$27=Choices!$B$8,$J$27=Choices!$B$8),1,AND($E$27=Choices!$B$8,$J$27=Choices!$B$9),2,AND($E$27=Choices!$B$9,$J$27=Choices!$B$8),3,AND($E$27=Choices!$B$9,$J$27=Choices!$B$9),4,TRUE,""),"")</f>
        <v>4</v>
      </c>
      <c r="G61" s="39"/>
      <c r="H61" s="39"/>
      <c r="I61" s="39" t="s">
        <v>120</v>
      </c>
      <c r="J61" s="43">
        <f>IF($J43="",0,VLOOKUP($J43,IC!$B$6:$E$14,4,FALSE)*$K43)</f>
        <v>14000000</v>
      </c>
      <c r="K61" s="39"/>
      <c r="L61" s="39"/>
      <c r="M61" s="39"/>
      <c r="N61" s="39"/>
      <c r="O61" s="39"/>
      <c r="P61" s="39" t="s">
        <v>120</v>
      </c>
      <c r="Q61" s="43">
        <f>IF($Q43="",0,VLOOKUP($Q43,IC!$B$6:$E$14,4,FALSE)*$R43)</f>
        <v>0</v>
      </c>
      <c r="R61" s="39"/>
      <c r="S61" s="39"/>
      <c r="T61" s="39"/>
      <c r="U61" s="39"/>
      <c r="V61" s="39"/>
      <c r="W61" s="39" t="s">
        <v>419</v>
      </c>
      <c r="X61" s="43">
        <f>IF($X44="",0,VLOOKUP($X44,IC!$B$7:$E$14,4,FALSE))*Y44</f>
        <v>0</v>
      </c>
      <c r="Y61" s="39"/>
      <c r="Z61" s="39"/>
      <c r="AA61" s="39"/>
      <c r="AB61" s="39"/>
      <c r="AC61" s="44"/>
      <c r="AD61" s="45" t="s">
        <v>171</v>
      </c>
      <c r="AE61" s="45" t="s">
        <v>599</v>
      </c>
      <c r="AF61" s="45" t="s">
        <v>600</v>
      </c>
      <c r="AG61" s="44" t="s">
        <v>339</v>
      </c>
      <c r="AH61" s="44" t="s">
        <v>222</v>
      </c>
      <c r="AI61" s="41"/>
      <c r="AJ61" s="39"/>
      <c r="AK61" s="39"/>
    </row>
    <row r="62" spans="1:37" ht="19.5" hidden="1">
      <c r="A62" s="39"/>
      <c r="B62" s="39"/>
      <c r="C62" s="39"/>
      <c r="D62" s="39"/>
      <c r="E62" s="39" t="s">
        <v>577</v>
      </c>
      <c r="F62" s="39" t="str">
        <f>IF(OR(AND($F$60=2,$F$67=1),$F$60=3),_xlfn.IFS(AND($E$27=Choices!$B$8,$Q$27=Choices!$B$8),1,AND($E$27=Choices!$B$8,$Q$27=Choices!$B$9),2,AND($E$27=Choices!$B$9,$Q$27=Choices!$B$8),3,AND($E$27=Choices!$B$9,$Q$27=Choices!$B$9),4,TRUE,""),"")</f>
        <v/>
      </c>
      <c r="G62" s="39"/>
      <c r="H62" s="39"/>
      <c r="I62" s="39" t="s">
        <v>121</v>
      </c>
      <c r="J62" s="43">
        <f>IF($J44="",0,VLOOKUP($J44,IC!$B$6:$E$14,4,FALSE)*$K44)</f>
        <v>10000000</v>
      </c>
      <c r="K62" s="39"/>
      <c r="L62" s="39"/>
      <c r="M62" s="39"/>
      <c r="N62" s="39"/>
      <c r="O62" s="39"/>
      <c r="P62" s="39" t="s">
        <v>121</v>
      </c>
      <c r="Q62" s="43">
        <f>IF($Q44="",0,VLOOKUP($Q44,IC!$B$6:$E$14,4,FALSE)*$R44)</f>
        <v>0</v>
      </c>
      <c r="R62" s="39"/>
      <c r="S62" s="39"/>
      <c r="T62" s="39"/>
      <c r="U62" s="39"/>
      <c r="V62" s="39"/>
      <c r="W62" s="39"/>
      <c r="X62" s="39"/>
      <c r="Y62" s="39"/>
      <c r="Z62" s="39"/>
      <c r="AA62" s="39"/>
      <c r="AB62" s="39"/>
      <c r="AC62" s="45" t="s">
        <v>172</v>
      </c>
      <c r="AD62" s="71" t="str">
        <f>IF(AND($J$4=Choices!$B$26,$J$23=Choices!$B$2,$J$24&gt;=20000),1,"")</f>
        <v/>
      </c>
      <c r="AE62" s="71" t="str">
        <f>IF(AND($J$4=Choices!$B$27,$Q$23=Choices!$B$2,$Q$24&gt;=20000),1,"")</f>
        <v/>
      </c>
      <c r="AF62" s="71" t="str">
        <f>IF(AND($J$4=Choices!$B$28,$Q$23=Choices!$B$2,$Q$24&gt;=20000),1,"")</f>
        <v/>
      </c>
      <c r="AG62" s="116"/>
      <c r="AH62" s="71" t="str">
        <f>IF(AND($E$23=Choices!$B$2,$E$24&gt;=20000),1,"")</f>
        <v/>
      </c>
      <c r="AI62" s="41"/>
      <c r="AJ62" s="39"/>
      <c r="AK62" s="39"/>
    </row>
    <row r="63" spans="1:37" ht="19.5" hidden="1">
      <c r="A63" s="39"/>
      <c r="B63" s="39"/>
      <c r="C63" s="39"/>
      <c r="D63" s="39"/>
      <c r="E63" s="39" t="s">
        <v>637</v>
      </c>
      <c r="F63" s="39" t="str">
        <f>IF(OR($Q$23=Choices!$B$2,$Q$23=Choices!$B$3),_xlfn.IFS($F$60=2,1,$F$60=3,2,TRUE,""),"")</f>
        <v/>
      </c>
      <c r="G63" s="39"/>
      <c r="H63" s="39"/>
      <c r="I63" s="39" t="s">
        <v>122</v>
      </c>
      <c r="J63" s="43">
        <f>IF($J45="",0,VLOOKUP($J45,IC!$B$6:$E$14,4,FALSE)*$K45)</f>
        <v>0</v>
      </c>
      <c r="K63" s="39"/>
      <c r="L63" s="39"/>
      <c r="M63" s="39"/>
      <c r="N63" s="39"/>
      <c r="O63" s="39"/>
      <c r="P63" s="39" t="s">
        <v>122</v>
      </c>
      <c r="Q63" s="43">
        <f>IF($Q45="",0,VLOOKUP($Q45,IC!$B$6:$E$14,4,FALSE)*$R45)</f>
        <v>0</v>
      </c>
      <c r="R63" s="39"/>
      <c r="S63" s="39"/>
      <c r="T63" s="39"/>
      <c r="U63" s="39"/>
      <c r="V63" s="39"/>
      <c r="W63" s="39" t="s">
        <v>324</v>
      </c>
      <c r="X63" s="43">
        <f>IF($X46="",0,VLOOKUP($X46,IC!$B$17:$E$23,4,FALSE))*$Y46</f>
        <v>0</v>
      </c>
      <c r="Y63" s="39"/>
      <c r="Z63" s="39"/>
      <c r="AA63" s="39"/>
      <c r="AB63" s="39"/>
      <c r="AC63" s="45" t="s">
        <v>173</v>
      </c>
      <c r="AD63" s="71" t="str">
        <f>IF(AND($J$4=Choices!$B$26,$J$23=Choices!$B$2,$J$24&lt;20000),1,"")</f>
        <v/>
      </c>
      <c r="AE63" s="71" t="str">
        <f>IF(AND($J$4=Choices!$B$27,$Q$23=Choices!$B$2,$Q$24&lt;20000),1,"")</f>
        <v/>
      </c>
      <c r="AF63" s="71" t="str">
        <f>IF(AND($J$4=Choices!$B$28,$Q$23=Choices!$B$2,$Q$24&lt;20000),1,"")</f>
        <v/>
      </c>
      <c r="AG63" s="116"/>
      <c r="AH63" s="71" t="str">
        <f>IF(AND($E$23=Choices!$B$2,$E$24&lt;20000),1,"")</f>
        <v/>
      </c>
      <c r="AI63" s="41"/>
      <c r="AJ63" s="39"/>
      <c r="AK63" s="39"/>
    </row>
    <row r="64" spans="1:37" ht="19.5" hidden="1">
      <c r="A64" s="39"/>
      <c r="B64" s="39"/>
      <c r="C64" s="39"/>
      <c r="D64" s="39"/>
      <c r="E64" s="39" t="s">
        <v>265</v>
      </c>
      <c r="F64" s="39" t="str">
        <f>_xlfn.IFS($Q$50=Choices!$B$36,1,$Q$51=Choices!$B$36,1,TRUE,"")</f>
        <v/>
      </c>
      <c r="G64" s="39"/>
      <c r="H64" s="39"/>
      <c r="I64" s="39" t="s">
        <v>302</v>
      </c>
      <c r="J64" s="43">
        <f>IF($J46="",0,VLOOKUP($J46,IC!$B$17:$E$23,4,FALSE))*$K46</f>
        <v>2650000</v>
      </c>
      <c r="K64" s="39"/>
      <c r="L64" s="39"/>
      <c r="M64" s="39"/>
      <c r="N64" s="39"/>
      <c r="O64" s="39"/>
      <c r="P64" s="39" t="s">
        <v>94</v>
      </c>
      <c r="Q64" s="43">
        <f>IF($Q46="",0,VLOOKUP($Q46,IC!$B$35:$E$37,4,FALSE))*$R46</f>
        <v>0</v>
      </c>
      <c r="R64" s="39"/>
      <c r="S64" s="39"/>
      <c r="T64" s="39"/>
      <c r="U64" s="39"/>
      <c r="V64" s="39"/>
      <c r="W64" s="39" t="s">
        <v>325</v>
      </c>
      <c r="X64" s="117">
        <f>IF($X47="",0,VLOOKUP($X47,IC!$B$26:$E$31,4,FALSE))*Y47</f>
        <v>0</v>
      </c>
      <c r="Y64" s="39"/>
      <c r="Z64" s="39"/>
      <c r="AA64" s="39"/>
      <c r="AB64" s="39"/>
      <c r="AC64" s="45" t="s">
        <v>174</v>
      </c>
      <c r="AD64" s="71" t="str">
        <f>IF(AND($J$4=Choices!$B$26,$J$23=Choices!$B$3),1,"")</f>
        <v/>
      </c>
      <c r="AE64" s="71" t="str">
        <f>IF(AND($J$4=Choices!$B$27,$Q$23=Choices!$B$3),1,"")</f>
        <v/>
      </c>
      <c r="AF64" s="71" t="str">
        <f>IF(AND($J$4=Choices!$B$28,$Q$23=Choices!$B$3),1,"")</f>
        <v/>
      </c>
      <c r="AG64" s="116"/>
      <c r="AH64" s="71" t="str">
        <f>IF($E$23=Choices!$B$3,1,"")</f>
        <v/>
      </c>
      <c r="AI64" s="41"/>
      <c r="AJ64" s="39"/>
      <c r="AK64" s="39"/>
    </row>
    <row r="65" spans="1:37" ht="19.5" hidden="1">
      <c r="A65" s="39"/>
      <c r="B65" s="39"/>
      <c r="C65" s="39"/>
      <c r="D65" s="39"/>
      <c r="E65" s="39" t="s">
        <v>264</v>
      </c>
      <c r="F65" s="39">
        <f>IF($J$4=Choices!$B$26,IF(OR($J$23=Choices!$B$4,$J$23=Choices!$B$6),1,IF(AND($J$23=Choices!$B$5,$J$27=Choices!$B$9),1,"")),"")</f>
        <v>1</v>
      </c>
      <c r="G65" s="39"/>
      <c r="H65" s="39"/>
      <c r="I65" s="39" t="s">
        <v>303</v>
      </c>
      <c r="J65" s="43">
        <f>IF($J47="",0,VLOOKUP($J47,IC!$B$26:$E$31,4,FALSE))*$K47</f>
        <v>1630000</v>
      </c>
      <c r="K65" s="39"/>
      <c r="L65" s="39"/>
      <c r="M65" s="39"/>
      <c r="N65" s="39"/>
      <c r="O65" s="39"/>
      <c r="P65" s="39" t="s">
        <v>93</v>
      </c>
      <c r="Q65" s="43">
        <f>IF($Q47="",0,VLOOKUP($Q47,IC!$B$40:$E$42,4,FALSE))*$R47</f>
        <v>0</v>
      </c>
      <c r="R65" s="39"/>
      <c r="S65" s="39"/>
      <c r="T65" s="39"/>
      <c r="U65" s="39"/>
      <c r="V65" s="39"/>
      <c r="W65" s="39" t="s">
        <v>420</v>
      </c>
      <c r="X65" s="43">
        <f>IF($X48="",0,VLOOKUP($X48,IC!$B$7:$E$14,4,FALSE))*Y48</f>
        <v>0</v>
      </c>
      <c r="Y65" s="39"/>
      <c r="Z65" s="39"/>
      <c r="AA65" s="39"/>
      <c r="AB65" s="39"/>
      <c r="AC65" s="45" t="s">
        <v>390</v>
      </c>
      <c r="AD65" s="71">
        <f>IF($J$4=Choices!$B$26,IF(OR($J$23=Choices!$B$4,$J$23=Choices!$B$6),1,IF(AND($J$23=Choices!$B$5,$J$27=Choices!$B$9),1,"")),"")</f>
        <v>1</v>
      </c>
      <c r="AE65" s="71" t="str">
        <f>IF($J$4=Choices!$B$27,IF(OR($Q$23=Choices!$B$4,$Q$23=Choices!$B$6),1,IF(AND($Q$23=Choices!$B$5,$Q$27=Choices!$B$9),1,"")),"")</f>
        <v/>
      </c>
      <c r="AF65" s="71" t="str">
        <f>IF($J$4=Choices!$B$28,IF(OR($Q$23=Choices!$B$4,$Q$23=Choices!$B$6),1,IF(AND($Q$23=Choices!$B$5,$Q$27=Choices!$B$9),1,"")),"")</f>
        <v/>
      </c>
      <c r="AG65" s="116"/>
      <c r="AH65" s="71">
        <f>IF(OR($E$23=Choices!$B$4,$E$23=Choices!$B$6),1,IF(AND($E$23=Choices!$B$5,$E$27=Choices!$B$9),1,""))</f>
        <v>1</v>
      </c>
      <c r="AI65" s="41"/>
      <c r="AJ65" s="39"/>
      <c r="AK65" s="39"/>
    </row>
    <row r="66" spans="1:37" hidden="1">
      <c r="A66" s="39"/>
      <c r="B66" s="39"/>
      <c r="C66" s="39"/>
      <c r="D66" s="39"/>
      <c r="E66" s="39" t="s">
        <v>588</v>
      </c>
      <c r="F66" s="39" t="str">
        <f>_xlfn.IFS($AD$66=1,1,$AE$66=1,1,$AF$66=1,1,TRUE,"")</f>
        <v/>
      </c>
      <c r="G66" s="39"/>
      <c r="H66" s="39"/>
      <c r="I66" s="39" t="s">
        <v>304</v>
      </c>
      <c r="J66" s="43">
        <f>IF($J48="",0,VLOOKUP($J48,IC!$B$35:$E$37,4,FALSE))*$K48</f>
        <v>2200000</v>
      </c>
      <c r="K66" s="39"/>
      <c r="L66" s="39"/>
      <c r="M66" s="39"/>
      <c r="N66" s="39"/>
      <c r="O66" s="39"/>
      <c r="P66" s="39"/>
      <c r="Q66" s="39"/>
      <c r="R66" s="39"/>
      <c r="S66" s="39"/>
      <c r="T66" s="39"/>
      <c r="U66" s="39"/>
      <c r="V66" s="39"/>
      <c r="W66" s="39"/>
      <c r="X66" s="39"/>
      <c r="Y66" s="39"/>
      <c r="Z66" s="39"/>
      <c r="AA66" s="39"/>
      <c r="AB66" s="39"/>
      <c r="AC66" s="45" t="s">
        <v>601</v>
      </c>
      <c r="AD66" s="71" t="str">
        <f>IF(AND($J$4=Choices!$B$26,$J$23=Choices!$B$5,$J$27=Choices!$B$8),1,"")</f>
        <v/>
      </c>
      <c r="AE66" s="71" t="str">
        <f>IF(AND($J$4=Choices!$B$27,$Q$23=Choices!$B$5,$Q$27=Choices!$B$8),1,"")</f>
        <v/>
      </c>
      <c r="AF66" s="71" t="str">
        <f>IF(AND($J$4=Choices!$B$28,$Q$23=Choices!$B$5,$Q$27=Choices!$B$8),1,"")</f>
        <v/>
      </c>
      <c r="AG66" s="116"/>
      <c r="AH66" s="71" t="str">
        <f>IF(AND($E$23=Choices!$B$5,$E$27=Choices!$B$8),1,"")</f>
        <v/>
      </c>
      <c r="AI66" s="39"/>
      <c r="AJ66" s="39"/>
      <c r="AK66" s="39"/>
    </row>
    <row r="67" spans="1:37" hidden="1">
      <c r="A67" s="39"/>
      <c r="B67" s="39"/>
      <c r="C67" s="39"/>
      <c r="D67" s="39"/>
      <c r="E67" s="39" t="s">
        <v>636</v>
      </c>
      <c r="F67" s="39" t="str">
        <f>IF($F$60=2,_xlfn.IFS($P$55=Choices!$B$42,2,$P$55=Choices!$B$41,1,TRUE,""),"")</f>
        <v/>
      </c>
      <c r="G67" s="39"/>
      <c r="H67" s="39"/>
      <c r="I67" s="39" t="s">
        <v>305</v>
      </c>
      <c r="J67" s="43">
        <f>IF($J49="",0,VLOOKUP($J49,IC!$B$40:$E$42,4,FALSE))*$K49</f>
        <v>8400000</v>
      </c>
      <c r="K67" s="39"/>
      <c r="L67" s="39"/>
      <c r="M67" s="39"/>
      <c r="N67" s="39"/>
      <c r="O67" s="39"/>
      <c r="P67" s="39"/>
      <c r="Q67" s="39"/>
      <c r="R67" s="39"/>
      <c r="S67" s="39"/>
      <c r="T67" s="39"/>
      <c r="U67" s="39"/>
      <c r="V67" s="39"/>
      <c r="W67" s="39" t="s">
        <v>326</v>
      </c>
      <c r="X67" s="43">
        <f>IF($X50="",0,VLOOKUP($X50,IC!$B$17:$E$23,4,FALSE))*$Y50</f>
        <v>0</v>
      </c>
      <c r="Y67" s="39"/>
      <c r="Z67" s="39"/>
      <c r="AA67" s="39"/>
      <c r="AB67" s="39"/>
      <c r="AC67" s="44" t="s">
        <v>338</v>
      </c>
      <c r="AD67" s="116"/>
      <c r="AE67" s="116"/>
      <c r="AF67" s="116"/>
      <c r="AG67" s="71" t="str">
        <f>IF($J$4=Choices!$B$29,1,"")</f>
        <v/>
      </c>
      <c r="AH67" s="116"/>
      <c r="AI67" s="39"/>
      <c r="AJ67" s="39"/>
      <c r="AK67" s="39"/>
    </row>
    <row r="68" spans="1:37" ht="19.5" hidden="1">
      <c r="A68" s="39"/>
      <c r="B68" s="39"/>
      <c r="C68" s="39"/>
      <c r="D68" s="39"/>
      <c r="E68" s="39" t="s">
        <v>255</v>
      </c>
      <c r="F68" s="39">
        <f>_xlfn.IFS($J30=Choices!$B$11,1,$J30=Choices!$B$12,2,$J30=Choices!$B$13,3,$J30=Choices!$B$14,4,$J30=Choices!$B$15,5,$J30=Choices!$B$16,6,$J30=Choices!$B$17,7,TRUE,"")</f>
        <v>1</v>
      </c>
      <c r="G68" s="39"/>
      <c r="H68" s="39"/>
      <c r="I68" s="39" t="s">
        <v>307</v>
      </c>
      <c r="J68" s="43">
        <f>IF($J50="",0,VLOOKUP($J50,IC!$B$17:$E$23,4,FALSE))*$K50</f>
        <v>0</v>
      </c>
      <c r="K68" s="39"/>
      <c r="L68" s="39"/>
      <c r="M68" s="39"/>
      <c r="N68" s="39"/>
      <c r="O68" s="39"/>
      <c r="P68" s="39"/>
      <c r="Q68" s="39"/>
      <c r="R68" s="39"/>
      <c r="S68" s="39"/>
      <c r="T68" s="39"/>
      <c r="U68" s="39"/>
      <c r="V68" s="39"/>
      <c r="W68" s="39" t="s">
        <v>421</v>
      </c>
      <c r="X68" s="43">
        <f>IF($X51="",0,VLOOKUP($X51,IC!$B$7:$E$14,4,FALSE))*Y51</f>
        <v>0</v>
      </c>
      <c r="Y68" s="39"/>
      <c r="Z68" s="39"/>
      <c r="AA68" s="39"/>
      <c r="AB68" s="42" t="s">
        <v>359</v>
      </c>
      <c r="AC68" s="39"/>
      <c r="AD68" s="39"/>
      <c r="AE68" s="39"/>
      <c r="AF68" s="39"/>
      <c r="AG68" s="41"/>
      <c r="AH68" s="39"/>
      <c r="AI68" s="39"/>
      <c r="AJ68" s="39"/>
      <c r="AK68" s="39"/>
    </row>
    <row r="69" spans="1:37" hidden="1">
      <c r="A69" s="39"/>
      <c r="B69" s="39"/>
      <c r="C69" s="39"/>
      <c r="D69" s="39"/>
      <c r="E69" s="39" t="s">
        <v>256</v>
      </c>
      <c r="F69" s="39" t="str">
        <f>_xlfn.IFS($J31=Choices!$B$11,1,$J31=Choices!$B$12,2,$J31=Choices!$B$13,3,$J31=Choices!$B$14,4,$J31=Choices!$B$15,5,$J31=Choices!$B$16,6,$J31=Choices!$B$17,7,TRUE,"")</f>
        <v/>
      </c>
      <c r="G69" s="39"/>
      <c r="H69" s="39"/>
      <c r="I69" s="39" t="s">
        <v>308</v>
      </c>
      <c r="J69" s="43">
        <f>IF($J51="",0,VLOOKUP($J51,IC!$B$26:$E$31,4,FALSE))*$K51</f>
        <v>0</v>
      </c>
      <c r="K69" s="39"/>
      <c r="L69" s="39"/>
      <c r="M69" s="39"/>
      <c r="N69" s="39"/>
      <c r="O69" s="39"/>
      <c r="P69" s="39"/>
      <c r="Q69" s="46"/>
      <c r="R69" s="39"/>
      <c r="S69" s="39"/>
      <c r="T69" s="39"/>
      <c r="U69" s="39"/>
      <c r="V69" s="39"/>
      <c r="W69" s="39"/>
      <c r="X69" s="39"/>
      <c r="Y69" s="39"/>
      <c r="Z69" s="39"/>
      <c r="AA69" s="39"/>
      <c r="AB69" s="39"/>
      <c r="AC69" s="45"/>
      <c r="AD69" s="45" t="s">
        <v>171</v>
      </c>
      <c r="AE69" s="45" t="s">
        <v>599</v>
      </c>
      <c r="AF69" s="45" t="s">
        <v>600</v>
      </c>
      <c r="AG69" s="44" t="s">
        <v>339</v>
      </c>
      <c r="AH69" s="44" t="s">
        <v>222</v>
      </c>
      <c r="AI69" s="39"/>
      <c r="AJ69" s="39"/>
      <c r="AK69" s="39"/>
    </row>
    <row r="70" spans="1:37" hidden="1">
      <c r="A70" s="39"/>
      <c r="B70" s="39"/>
      <c r="C70" s="39"/>
      <c r="D70" s="39"/>
      <c r="E70" s="39" t="s">
        <v>257</v>
      </c>
      <c r="F70" s="39" t="str">
        <f>_xlfn.IFS($J32=Choices!$B$11,1,$J32=Choices!$B$12,2,$J32=Choices!$B$13,3,$J32=Choices!$B$14,4,$J32=Choices!$B$15,5,$J32=Choices!$B$16,6,$J32=Choices!$B$17,7,TRUE,"")</f>
        <v/>
      </c>
      <c r="G70" s="39"/>
      <c r="H70" s="39"/>
      <c r="I70" s="39" t="s">
        <v>309</v>
      </c>
      <c r="J70" s="43">
        <f>IF($J52="",0,VLOOKUP($J52,IC!$B$35:$E$37,4,FALSE))*$K52</f>
        <v>0</v>
      </c>
      <c r="K70" s="39"/>
      <c r="L70" s="39"/>
      <c r="M70" s="39"/>
      <c r="N70" s="39"/>
      <c r="O70" s="39"/>
      <c r="P70" s="39"/>
      <c r="Q70" s="39"/>
      <c r="R70" s="39"/>
      <c r="S70" s="39"/>
      <c r="T70" s="39"/>
      <c r="U70" s="39"/>
      <c r="V70" s="39"/>
      <c r="W70" s="39" t="s">
        <v>327</v>
      </c>
      <c r="X70" s="43">
        <f>IF($X53="",0,VLOOKUP($X53,IC!$B$17:$E$23,4,FALSE))*$Y53</f>
        <v>0</v>
      </c>
      <c r="Y70" s="39"/>
      <c r="Z70" s="39"/>
      <c r="AA70" s="39"/>
      <c r="AB70" s="39"/>
      <c r="AC70" s="45" t="s">
        <v>172</v>
      </c>
      <c r="AD70" s="47">
        <f>AD$84</f>
        <v>183852.90745855751</v>
      </c>
      <c r="AE70" s="47">
        <f>AE$84</f>
        <v>183852.90745855751</v>
      </c>
      <c r="AF70" s="47">
        <f>AF$84</f>
        <v>183852.90745855751</v>
      </c>
      <c r="AG70" s="116"/>
      <c r="AH70" s="47">
        <f t="shared" ref="AH70" si="0">AH$84</f>
        <v>183852.90745855751</v>
      </c>
      <c r="AI70" s="39"/>
      <c r="AJ70" s="39"/>
      <c r="AK70" s="39"/>
    </row>
    <row r="71" spans="1:37" ht="19.5" hidden="1" thickBot="1">
      <c r="A71" s="39"/>
      <c r="B71" s="39"/>
      <c r="C71" s="39"/>
      <c r="D71" s="39"/>
      <c r="E71" s="39" t="s">
        <v>258</v>
      </c>
      <c r="F71" s="39" t="str">
        <f>_xlfn.IFS($J33=Choices!$B$11,1,$J33=Choices!$B$12,2,$J33=Choices!$B$13,3,$J33=Choices!$B$14,4,$J33=Choices!$B$15,5,$J33=Choices!$B$16,6,$J33=Choices!$B$17,7,TRUE,"")</f>
        <v/>
      </c>
      <c r="G71" s="39"/>
      <c r="H71" s="39"/>
      <c r="I71" s="39" t="s">
        <v>310</v>
      </c>
      <c r="J71" s="43">
        <f>IF($J53="",0,VLOOKUP($J53,IC!$B$40:$E$42,4,FALSE))*$K53</f>
        <v>0</v>
      </c>
      <c r="K71" s="39"/>
      <c r="L71" s="39"/>
      <c r="M71" s="39"/>
      <c r="N71" s="39"/>
      <c r="O71" s="39"/>
      <c r="P71" s="39"/>
      <c r="Q71" s="39"/>
      <c r="R71" s="39"/>
      <c r="S71" s="39"/>
      <c r="T71" s="39"/>
      <c r="U71" s="39"/>
      <c r="V71" s="39"/>
      <c r="W71" s="39" t="s">
        <v>422</v>
      </c>
      <c r="X71" s="43">
        <f>IF($X54="",0,VLOOKUP($X54,IC!$B$7:$E$14,4,FALSE))*Y54</f>
        <v>0</v>
      </c>
      <c r="Y71" s="39"/>
      <c r="Z71" s="39"/>
      <c r="AA71" s="39"/>
      <c r="AB71" s="39"/>
      <c r="AC71" s="45" t="s">
        <v>173</v>
      </c>
      <c r="AD71" s="47">
        <f>AD$92</f>
        <v>20884.388054453899</v>
      </c>
      <c r="AE71" s="47">
        <f>AE$92</f>
        <v>20884.388054453899</v>
      </c>
      <c r="AF71" s="47">
        <f>AF$92</f>
        <v>20884.388054453899</v>
      </c>
      <c r="AG71" s="116"/>
      <c r="AH71" s="47">
        <f>AH$92</f>
        <v>20884.388054453899</v>
      </c>
      <c r="AI71" s="39"/>
      <c r="AJ71" s="39"/>
      <c r="AK71" s="39"/>
    </row>
    <row r="72" spans="1:37" ht="19.5" hidden="1" thickBot="1">
      <c r="A72" s="39"/>
      <c r="B72" s="39"/>
      <c r="C72" s="39"/>
      <c r="D72" s="39"/>
      <c r="E72" s="39" t="s">
        <v>259</v>
      </c>
      <c r="F72" s="39" t="str">
        <f>_xlfn.IFS($J34=Choices!$B$19,1,$J34=Choices!$B$20,2,$J34=Choices!$B$21,3,$J34=Choices!$B$22,4,$J34=Choices!$B$23,5,TRUE,"")</f>
        <v/>
      </c>
      <c r="G72" s="39"/>
      <c r="H72" s="39"/>
      <c r="I72" s="39" t="s">
        <v>176</v>
      </c>
      <c r="J72" s="48">
        <f>SUM(J60:J71)</f>
        <v>44880000</v>
      </c>
      <c r="K72" s="39" t="s">
        <v>87</v>
      </c>
      <c r="L72" s="39"/>
      <c r="M72" s="39"/>
      <c r="N72" s="39"/>
      <c r="O72" s="39"/>
      <c r="P72" s="39" t="s">
        <v>176</v>
      </c>
      <c r="Q72" s="48">
        <f>SUM(Q60:Q69)</f>
        <v>0</v>
      </c>
      <c r="R72" s="39" t="s">
        <v>87</v>
      </c>
      <c r="S72" s="39"/>
      <c r="T72" s="39"/>
      <c r="U72" s="39"/>
      <c r="V72" s="39"/>
      <c r="W72" s="39" t="s">
        <v>176</v>
      </c>
      <c r="X72" s="48">
        <f>SUM(X60:X71)</f>
        <v>0</v>
      </c>
      <c r="Y72" s="39" t="s">
        <v>87</v>
      </c>
      <c r="Z72" s="39"/>
      <c r="AA72" s="39"/>
      <c r="AB72" s="39"/>
      <c r="AC72" s="45" t="s">
        <v>174</v>
      </c>
      <c r="AD72" s="47">
        <f>AD$87</f>
        <v>17835.040608240197</v>
      </c>
      <c r="AE72" s="47">
        <f>AE$87</f>
        <v>15257.915210428771</v>
      </c>
      <c r="AF72" s="47">
        <f>AF$87</f>
        <v>17835.040608240197</v>
      </c>
      <c r="AG72" s="116"/>
      <c r="AH72" s="47">
        <f>AH$87</f>
        <v>17835.040608240197</v>
      </c>
      <c r="AI72" s="39"/>
      <c r="AJ72" s="39"/>
      <c r="AK72" s="39"/>
    </row>
    <row r="73" spans="1:37" ht="19.5" hidden="1" thickBot="1">
      <c r="A73" s="39"/>
      <c r="B73" s="39"/>
      <c r="C73" s="39"/>
      <c r="D73" s="39"/>
      <c r="E73" s="39" t="s">
        <v>260</v>
      </c>
      <c r="F73" s="39" t="str">
        <f>_xlfn.IFS($J35=Choices!$B$19,1,$J35=Choices!$B$20,2,$J35=Choices!$B$21,3,$J35=Choices!$B$22,4,$J35=Choices!$B$23,5,TRUE,"")</f>
        <v/>
      </c>
      <c r="G73" s="39"/>
      <c r="H73" s="39"/>
      <c r="I73" s="39" t="s">
        <v>176</v>
      </c>
      <c r="J73" s="48">
        <f>J$72/1000</f>
        <v>44880</v>
      </c>
      <c r="K73" s="39" t="s">
        <v>181</v>
      </c>
      <c r="L73" s="39"/>
      <c r="M73" s="39"/>
      <c r="N73" s="39"/>
      <c r="O73" s="39"/>
      <c r="P73" s="39" t="s">
        <v>176</v>
      </c>
      <c r="Q73" s="48">
        <f>Q$72/1000</f>
        <v>0</v>
      </c>
      <c r="R73" s="39" t="s">
        <v>181</v>
      </c>
      <c r="S73" s="39"/>
      <c r="T73" s="39"/>
      <c r="U73" s="39"/>
      <c r="V73" s="39"/>
      <c r="W73" s="39" t="s">
        <v>176</v>
      </c>
      <c r="X73" s="48">
        <f>X$72/1000</f>
        <v>0</v>
      </c>
      <c r="Y73" s="39" t="s">
        <v>181</v>
      </c>
      <c r="Z73" s="39"/>
      <c r="AA73" s="39"/>
      <c r="AB73" s="39"/>
      <c r="AC73" s="45" t="s">
        <v>390</v>
      </c>
      <c r="AD73" s="47">
        <f>AD$104</f>
        <v>1497.4581203876673</v>
      </c>
      <c r="AE73" s="47">
        <f>AE$104</f>
        <v>614.19704716856779</v>
      </c>
      <c r="AF73" s="47">
        <f t="shared" ref="AF73" si="1">AF$104</f>
        <v>614.19704716856779</v>
      </c>
      <c r="AG73" s="116"/>
      <c r="AH73" s="47">
        <f>AH$104</f>
        <v>2019.8859732041299</v>
      </c>
      <c r="AI73" s="39"/>
      <c r="AJ73" s="39"/>
      <c r="AK73" s="39"/>
    </row>
    <row r="74" spans="1:37" hidden="1">
      <c r="A74" s="39"/>
      <c r="B74" s="39"/>
      <c r="C74" s="39"/>
      <c r="D74" s="39"/>
      <c r="E74" s="39" t="s">
        <v>261</v>
      </c>
      <c r="F74" s="39" t="str">
        <f>_xlfn.IFS($J36=Choices!$B$19,1,$J36=Choices!$B$20,2,$J36=Choices!$B$21,3,$J36=Choices!$B$22,4,$J36=Choices!$B$23,5,TRUE,"")</f>
        <v/>
      </c>
      <c r="G74" s="39"/>
      <c r="H74" s="39"/>
      <c r="I74" s="39"/>
      <c r="J74" s="46"/>
      <c r="K74" s="39"/>
      <c r="L74" s="39"/>
      <c r="M74" s="39"/>
      <c r="N74" s="39"/>
      <c r="O74" s="39"/>
      <c r="P74" s="39"/>
      <c r="Q74" s="46"/>
      <c r="R74" s="39"/>
      <c r="S74" s="39"/>
      <c r="T74" s="39"/>
      <c r="U74" s="39"/>
      <c r="V74" s="39"/>
      <c r="W74" s="39"/>
      <c r="X74" s="46"/>
      <c r="Y74" s="39"/>
      <c r="Z74" s="39"/>
      <c r="AA74" s="39"/>
      <c r="AB74" s="39"/>
      <c r="AC74" s="44" t="s">
        <v>338</v>
      </c>
      <c r="AD74" s="116"/>
      <c r="AE74" s="116"/>
      <c r="AF74" s="116"/>
      <c r="AG74" s="47">
        <f>$AG$109</f>
        <v>0</v>
      </c>
      <c r="AH74" s="116"/>
      <c r="AI74" s="39"/>
      <c r="AJ74" s="39"/>
      <c r="AK74" s="39"/>
    </row>
    <row r="75" spans="1:37" hidden="1">
      <c r="A75" s="39"/>
      <c r="B75" s="39"/>
      <c r="C75" s="39"/>
      <c r="D75" s="39"/>
      <c r="E75" s="39" t="s">
        <v>262</v>
      </c>
      <c r="F75" s="39" t="str">
        <f>_xlfn.IFS($J37=Choices!$B$19,1,$J37=Choices!$B$20,2,$J37=Choices!$B$21,3,$J37=Choices!$B$22,4,$J37=Choices!$B$23,5,TRUE,"")</f>
        <v/>
      </c>
      <c r="G75" s="39"/>
      <c r="H75" s="39"/>
      <c r="I75" s="39"/>
      <c r="J75" s="46"/>
      <c r="K75" s="39"/>
      <c r="L75" s="39"/>
      <c r="M75" s="39"/>
      <c r="N75" s="39"/>
      <c r="O75" s="39"/>
      <c r="P75" s="39"/>
      <c r="Q75" s="46"/>
      <c r="R75" s="39"/>
      <c r="S75" s="39"/>
      <c r="T75" s="39"/>
      <c r="U75" s="39"/>
      <c r="V75" s="39"/>
      <c r="W75" s="39"/>
      <c r="X75" s="46"/>
      <c r="Y75" s="39"/>
      <c r="Z75" s="39"/>
      <c r="AA75" s="39"/>
      <c r="AB75" s="39"/>
      <c r="AC75" s="90"/>
      <c r="AD75" s="91"/>
      <c r="AE75" s="91"/>
      <c r="AF75" s="91"/>
      <c r="AG75" s="39"/>
      <c r="AH75" s="91"/>
      <c r="AI75" s="39"/>
      <c r="AJ75" s="39"/>
      <c r="AK75" s="39"/>
    </row>
    <row r="76" spans="1:37" hidden="1">
      <c r="A76" s="39"/>
      <c r="B76" s="39"/>
      <c r="C76" s="39"/>
      <c r="D76" s="39"/>
      <c r="E76" s="39" t="s">
        <v>591</v>
      </c>
      <c r="F76" s="39" t="str">
        <f>IF($AH$66=1,1,"")</f>
        <v/>
      </c>
      <c r="G76" s="39"/>
      <c r="H76" s="39"/>
      <c r="I76" s="39"/>
      <c r="J76" s="46"/>
      <c r="K76" s="39"/>
      <c r="L76" s="39"/>
      <c r="M76" s="39"/>
      <c r="N76" s="39"/>
      <c r="O76" s="39"/>
      <c r="P76" s="39"/>
      <c r="Q76" s="46"/>
      <c r="R76" s="39"/>
      <c r="S76" s="39"/>
      <c r="T76" s="39"/>
      <c r="U76" s="39"/>
      <c r="V76" s="39"/>
      <c r="W76" s="39"/>
      <c r="X76" s="46"/>
      <c r="Y76" s="39"/>
      <c r="Z76" s="39"/>
      <c r="AA76" s="39"/>
      <c r="AB76" s="42" t="s">
        <v>360</v>
      </c>
      <c r="AC76" s="90"/>
      <c r="AD76" s="91"/>
      <c r="AE76" s="91"/>
      <c r="AF76" s="91"/>
      <c r="AG76" s="39"/>
      <c r="AH76" s="91"/>
      <c r="AI76" s="39"/>
      <c r="AJ76" s="39"/>
      <c r="AK76" s="39"/>
    </row>
    <row r="77" spans="1:37" ht="51.75" hidden="1" customHeight="1">
      <c r="A77" s="39"/>
      <c r="B77" s="39"/>
      <c r="C77" s="39"/>
      <c r="D77" s="42" t="s">
        <v>356</v>
      </c>
      <c r="E77" s="39"/>
      <c r="F77" s="39"/>
      <c r="G77" s="39"/>
      <c r="H77" s="39"/>
      <c r="I77" s="39"/>
      <c r="J77" s="39"/>
      <c r="K77" s="39"/>
      <c r="L77" s="39"/>
      <c r="M77" s="39"/>
      <c r="N77" s="39"/>
      <c r="O77" s="39"/>
      <c r="P77" s="39"/>
      <c r="Q77" s="39"/>
      <c r="R77" s="39"/>
      <c r="S77" s="39"/>
      <c r="T77" s="39"/>
      <c r="U77" s="39"/>
      <c r="V77" s="39"/>
      <c r="W77" s="39"/>
      <c r="X77" s="39"/>
      <c r="Y77" s="39"/>
      <c r="Z77" s="39"/>
      <c r="AA77" s="39"/>
      <c r="AB77" s="49"/>
      <c r="AC77" s="49"/>
      <c r="AD77" s="50" t="s">
        <v>75</v>
      </c>
      <c r="AE77" s="51" t="s">
        <v>571</v>
      </c>
      <c r="AF77" s="51" t="s">
        <v>572</v>
      </c>
      <c r="AG77" s="49"/>
      <c r="AH77" s="51" t="s">
        <v>223</v>
      </c>
      <c r="AI77" s="51" t="s">
        <v>573</v>
      </c>
      <c r="AJ77" s="39"/>
      <c r="AK77" s="39"/>
    </row>
    <row r="78" spans="1:37" hidden="1">
      <c r="A78" s="39"/>
      <c r="B78" s="39"/>
      <c r="C78" s="39"/>
      <c r="D78" s="39" t="s">
        <v>589</v>
      </c>
      <c r="E78" s="39"/>
      <c r="F78" s="39"/>
      <c r="G78" s="39"/>
      <c r="H78" s="39"/>
      <c r="I78" s="39"/>
      <c r="J78" s="39"/>
      <c r="K78" s="39"/>
      <c r="L78" s="39"/>
      <c r="M78" s="39"/>
      <c r="N78" s="39"/>
      <c r="O78" s="39"/>
      <c r="P78" s="39"/>
      <c r="Q78" s="39"/>
      <c r="R78" s="39"/>
      <c r="S78" s="39"/>
      <c r="T78" s="39"/>
      <c r="U78" s="39"/>
      <c r="V78" s="39"/>
      <c r="W78" s="39"/>
      <c r="X78" s="39"/>
      <c r="Y78" s="39"/>
      <c r="Z78" s="39"/>
      <c r="AA78" s="39"/>
      <c r="AB78" s="40" t="s">
        <v>247</v>
      </c>
      <c r="AC78" s="39"/>
      <c r="AD78" s="39"/>
      <c r="AE78" s="39"/>
      <c r="AF78" s="39"/>
      <c r="AG78" s="39"/>
      <c r="AH78" s="39"/>
      <c r="AI78" s="39"/>
      <c r="AJ78" s="39"/>
      <c r="AK78" s="39"/>
    </row>
    <row r="79" spans="1:37" hidden="1">
      <c r="A79" s="39"/>
      <c r="B79" s="39"/>
      <c r="C79" s="39"/>
      <c r="D79" s="39"/>
      <c r="E79" s="39" t="s">
        <v>371</v>
      </c>
      <c r="F79" s="39"/>
      <c r="G79" s="39"/>
      <c r="H79" s="39"/>
      <c r="I79" s="39"/>
      <c r="J79" s="39"/>
      <c r="K79" s="39"/>
      <c r="L79" s="39"/>
      <c r="M79" s="39"/>
      <c r="N79" s="39"/>
      <c r="O79" s="39"/>
      <c r="P79" s="39"/>
      <c r="Q79" s="39"/>
      <c r="R79" s="39"/>
      <c r="S79" s="39"/>
      <c r="T79" s="39"/>
      <c r="U79" s="39"/>
      <c r="V79" s="39"/>
      <c r="W79" s="39"/>
      <c r="X79" s="39"/>
      <c r="Y79" s="39"/>
      <c r="Z79" s="39"/>
      <c r="AA79" s="39"/>
      <c r="AB79" s="39"/>
      <c r="AC79" s="39" t="s">
        <v>19</v>
      </c>
      <c r="AD79" s="44">
        <f>IF(OR($J$34=Choices!$B$21,$J$35=Choices!$B$21,$J$36=Choices!$B$21,$J$37=Choices!$B$21),1,0)</f>
        <v>0</v>
      </c>
      <c r="AE79" s="44">
        <f>IF($Q$51=Choices!$B$36,IF(OR($E$34=Choices!$B$21,$E$35=Choices!$B$21,$E$36=Choices!$B$21,$E$37=Choices!$B$21,$Q$34=Choices!$B$21,$Q$35=Choices!$B$21,$Q$36=Choices!$B$21,$Q$37=Choices!$B$21),1,0),IF(OR($Q$34=Choices!$B$21,$Q$35=Choices!$B$21,$Q$36=Choices!$B$21,$Q$37=Choices!$B$21),1,0))</f>
        <v>0</v>
      </c>
      <c r="AF79" s="44">
        <f>IF(OR($E$34=Choices!$B$21,$E$35=Choices!$B$21,$E$36=Choices!$B$21,$E$37=Choices!$B$21,$Q$34=Choices!$B$21,$Q$35=Choices!$B$21,$Q$36=Choices!$B$21,$Q$37=Choices!$B$21),1,0)</f>
        <v>0</v>
      </c>
      <c r="AG79" s="44"/>
      <c r="AH79" s="44">
        <f>IF(OR($E$34=Choices!$B$21,$E$35=Choices!$B$21,$E$36=Choices!$B$21,$E$37=Choices!$B$21),1,0)</f>
        <v>0</v>
      </c>
      <c r="AI79" s="44">
        <f>IF(OR($Q$34=Choices!$B$21,$Q$35=Choices!$B$21,$Q$36=Choices!$B$21,$Q$37=Choices!$B$21),1,0)</f>
        <v>0</v>
      </c>
      <c r="AJ79" s="39"/>
      <c r="AK79" s="39"/>
    </row>
    <row r="80" spans="1:37" hidden="1">
      <c r="A80" s="39"/>
      <c r="B80" s="39"/>
      <c r="C80" s="39"/>
      <c r="D80" s="39"/>
      <c r="E80" s="39" t="s">
        <v>372</v>
      </c>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row>
    <row r="81" spans="1:37" hidden="1">
      <c r="A81" s="39"/>
      <c r="B81" s="39"/>
      <c r="C81" s="39"/>
      <c r="D81" s="39"/>
      <c r="E81" s="39" t="s">
        <v>361</v>
      </c>
      <c r="F81" s="39"/>
      <c r="G81" s="39"/>
      <c r="H81" s="39"/>
      <c r="I81" s="39"/>
      <c r="J81" s="39"/>
      <c r="K81" s="39"/>
      <c r="L81" s="39"/>
      <c r="M81" s="39"/>
      <c r="N81" s="39"/>
      <c r="O81" s="39"/>
      <c r="P81" s="39"/>
      <c r="Q81" s="39"/>
      <c r="R81" s="39"/>
      <c r="S81" s="39"/>
      <c r="T81" s="39"/>
      <c r="U81" s="39"/>
      <c r="V81" s="39"/>
      <c r="W81" s="39"/>
      <c r="X81" s="39"/>
      <c r="Y81" s="39"/>
      <c r="Z81" s="39"/>
      <c r="AA81" s="39"/>
      <c r="AB81" s="39"/>
      <c r="AC81" s="39" t="s">
        <v>34</v>
      </c>
      <c r="AD81" s="44">
        <f>$J$25</f>
        <v>50</v>
      </c>
      <c r="AE81" s="44">
        <f>$E$25+$Q$25</f>
        <v>50</v>
      </c>
      <c r="AF81" s="44">
        <f>$E$25+$Q$25</f>
        <v>50</v>
      </c>
      <c r="AG81" s="44"/>
      <c r="AH81" s="44">
        <f>$E$25</f>
        <v>50</v>
      </c>
      <c r="AI81" s="44">
        <f>$Q$25</f>
        <v>0</v>
      </c>
      <c r="AJ81" s="39"/>
      <c r="AK81" s="39"/>
    </row>
    <row r="82" spans="1:37" hidden="1">
      <c r="A82" s="39"/>
      <c r="B82" s="39"/>
      <c r="C82" s="39"/>
      <c r="D82" s="39"/>
      <c r="E82" s="39" t="s">
        <v>363</v>
      </c>
      <c r="F82" s="39"/>
      <c r="G82" s="39"/>
      <c r="H82" s="39"/>
      <c r="I82" s="39"/>
      <c r="J82" s="39"/>
      <c r="K82" s="39"/>
      <c r="L82" s="39"/>
      <c r="M82" s="39"/>
      <c r="N82" s="39"/>
      <c r="O82" s="39"/>
      <c r="P82" s="39"/>
      <c r="Q82" s="39"/>
      <c r="R82" s="39"/>
      <c r="S82" s="39"/>
      <c r="T82" s="39"/>
      <c r="U82" s="39"/>
      <c r="V82" s="39"/>
      <c r="W82" s="39"/>
      <c r="X82" s="39"/>
      <c r="Y82" s="39"/>
      <c r="Z82" s="39"/>
      <c r="AA82" s="39"/>
      <c r="AB82" s="39"/>
      <c r="AC82" s="39" t="s">
        <v>37</v>
      </c>
      <c r="AD82" s="44">
        <f>IF(OR($J$34=Choices!$B$21,$J$35=Choices!$B$21,$J$36=Choices!$B$21,$J$37=Choices!$B$21),1,0)</f>
        <v>0</v>
      </c>
      <c r="AE82" s="44">
        <f>IF($Q$51=Choices!$B$36,IF(OR($E$34=Choices!$B$21,$E$35=Choices!$B$21,$E$36=Choices!$B$21,$E$37=Choices!$B$21,$Q$34=Choices!$B$21,$Q$35=Choices!$B$21,$Q$36=Choices!$B$21,$Q$37=Choices!$B$21),1,0),IF(OR($Q$34=Choices!$B$21,$Q$35=Choices!$B$21,$Q$36=Choices!$B$21,$Q$37=Choices!$B$21),1,0))</f>
        <v>0</v>
      </c>
      <c r="AF82" s="44">
        <f>IF(OR($E$34=Choices!$B$21,$E$35=Choices!$B$21,$E$36=Choices!$B$21,$E$37=Choices!$B$21,$Q$34=Choices!$B$21,$Q$35=Choices!$B$21,$Q$36=Choices!$B$21,$Q$37=Choices!$B$21),1,0)</f>
        <v>0</v>
      </c>
      <c r="AG82" s="44"/>
      <c r="AH82" s="44">
        <f>IF(OR($E$34=Choices!$B$21,$E$35=Choices!$B$21,$E$36=Choices!$B$21,$E$37=Choices!$B$21),1,0)</f>
        <v>0</v>
      </c>
      <c r="AI82" s="44">
        <f>IF(OR($Q$34=Choices!$B$21,$Q$35=Choices!$B$21,$Q$36=Choices!$B$21,$Q$37=Choices!$B$21),1,0)</f>
        <v>0</v>
      </c>
      <c r="AJ82" s="39"/>
      <c r="AK82" s="39"/>
    </row>
    <row r="83" spans="1:37" hidden="1">
      <c r="A83" s="39"/>
      <c r="B83" s="39"/>
      <c r="C83" s="39"/>
      <c r="D83" s="39"/>
      <c r="E83" s="39" t="s">
        <v>362</v>
      </c>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row>
    <row r="84" spans="1:37" hidden="1">
      <c r="A84" s="39"/>
      <c r="B84" s="39"/>
      <c r="C84" s="39"/>
      <c r="D84" s="39"/>
      <c r="E84" s="39" t="s">
        <v>590</v>
      </c>
      <c r="F84" s="39"/>
      <c r="G84" s="39"/>
      <c r="H84" s="39"/>
      <c r="I84" s="39"/>
      <c r="J84" s="39"/>
      <c r="K84" s="39"/>
      <c r="L84" s="39"/>
      <c r="M84" s="39"/>
      <c r="N84" s="39"/>
      <c r="O84" s="39"/>
      <c r="P84" s="39"/>
      <c r="Q84" s="39"/>
      <c r="R84" s="39"/>
      <c r="S84" s="39"/>
      <c r="T84" s="39"/>
      <c r="U84" s="39"/>
      <c r="V84" s="39"/>
      <c r="W84" s="39"/>
      <c r="X84" s="39"/>
      <c r="Y84" s="39"/>
      <c r="Z84" s="39"/>
      <c r="AA84" s="39"/>
      <c r="AB84" s="39"/>
      <c r="AC84" s="39" t="s">
        <v>169</v>
      </c>
      <c r="AD84" s="52">
        <f>IF(AD81="","",((AD81-'RC'!$I$6)/'RC'!$J$6*'RC'!$K$6+AD82*'RC'!$K$7+'RC'!$K$8)*'RC'!$J$8+'RC'!$I$8)</f>
        <v>183852.90745855751</v>
      </c>
      <c r="AE84" s="52">
        <f>IF(AE81="","",((AE81-'RC'!$I$6)/'RC'!$J$6*'RC'!$K$6+AE82*'RC'!$K$7+'RC'!$K$8)*'RC'!$J$8+'RC'!$I$8)</f>
        <v>183852.90745855751</v>
      </c>
      <c r="AF84" s="52">
        <f>IF(AF81="","",((AF81-'RC'!$I$6)/'RC'!$J$6*'RC'!$K$6+AF82*'RC'!$K$7+'RC'!$K$8)*'RC'!$J$8+'RC'!$I$8)</f>
        <v>183852.90745855751</v>
      </c>
      <c r="AG84" s="52"/>
      <c r="AH84" s="52">
        <f>IF(AH81="","",((AH81-'RC'!$I$6)/'RC'!$J$6*'RC'!$K$6+AH82*'RC'!$K$7+'RC'!$K$8)*'RC'!$J$8+'RC'!$I$8)</f>
        <v>183852.90745855751</v>
      </c>
      <c r="AI84" s="52">
        <f>IF(AI81="","",((AI81-'RC'!$I$6)/'RC'!$J$6*'RC'!$K$6+AI82*'RC'!$K$7+'RC'!$K$8)*'RC'!$J$8+'RC'!$I$8)</f>
        <v>183431.33767826483</v>
      </c>
      <c r="AJ84" s="39"/>
      <c r="AK84" s="39"/>
    </row>
    <row r="85" spans="1:37" hidden="1">
      <c r="A85" s="39"/>
      <c r="B85" s="39"/>
      <c r="C85" s="39"/>
      <c r="D85" s="39"/>
      <c r="E85" s="39" t="s">
        <v>650</v>
      </c>
      <c r="F85" s="39"/>
      <c r="G85" s="39"/>
      <c r="H85" s="39"/>
      <c r="I85" s="39"/>
      <c r="J85" s="39"/>
      <c r="K85" s="39"/>
      <c r="L85" s="39"/>
      <c r="M85" s="39"/>
      <c r="N85" s="39"/>
      <c r="O85" s="39"/>
      <c r="P85" s="39"/>
      <c r="Q85" s="39"/>
      <c r="R85" s="39"/>
      <c r="S85" s="39"/>
      <c r="T85" s="39"/>
      <c r="U85" s="39"/>
      <c r="V85" s="39"/>
      <c r="W85" s="39"/>
      <c r="X85" s="39"/>
      <c r="Y85" s="39"/>
      <c r="Z85" s="39"/>
      <c r="AA85" s="39"/>
      <c r="AB85" s="49"/>
      <c r="AC85" s="49"/>
      <c r="AD85" s="49"/>
      <c r="AE85" s="49"/>
      <c r="AF85" s="49"/>
      <c r="AG85" s="49"/>
      <c r="AH85" s="49"/>
      <c r="AI85" s="49"/>
      <c r="AJ85" s="39"/>
      <c r="AK85" s="39"/>
    </row>
    <row r="86" spans="1:37" hidden="1">
      <c r="A86" s="39"/>
      <c r="B86" s="39"/>
      <c r="C86" s="39"/>
      <c r="D86" s="39"/>
      <c r="E86" s="39" t="s">
        <v>649</v>
      </c>
      <c r="F86" s="39"/>
      <c r="G86" s="39"/>
      <c r="H86" s="39"/>
      <c r="I86" s="39"/>
      <c r="J86" s="39"/>
      <c r="K86" s="39"/>
      <c r="L86" s="39"/>
      <c r="M86" s="39"/>
      <c r="N86" s="39"/>
      <c r="O86" s="39"/>
      <c r="P86" s="39"/>
      <c r="Q86" s="39"/>
      <c r="R86" s="39"/>
      <c r="S86" s="39"/>
      <c r="T86" s="39"/>
      <c r="U86" s="39"/>
      <c r="V86" s="39"/>
      <c r="W86" s="39"/>
      <c r="X86" s="39"/>
      <c r="Y86" s="39"/>
      <c r="Z86" s="39"/>
      <c r="AA86" s="39"/>
      <c r="AB86" s="40" t="s">
        <v>246</v>
      </c>
      <c r="AC86" s="39"/>
      <c r="AD86" s="39"/>
      <c r="AE86" s="39"/>
      <c r="AF86" s="39"/>
      <c r="AG86" s="39"/>
      <c r="AH86" s="39"/>
      <c r="AI86" s="39"/>
      <c r="AJ86" s="39"/>
      <c r="AK86" s="39"/>
    </row>
    <row r="87" spans="1:37" hidden="1">
      <c r="A87" s="39"/>
      <c r="B87" s="39"/>
      <c r="C87" s="39"/>
      <c r="D87" s="39"/>
      <c r="E87" s="39" t="s">
        <v>602</v>
      </c>
      <c r="F87" s="39"/>
      <c r="G87" s="39"/>
      <c r="H87" s="39"/>
      <c r="I87" s="39"/>
      <c r="J87" s="39"/>
      <c r="K87" s="39"/>
      <c r="L87" s="39"/>
      <c r="M87" s="39"/>
      <c r="N87" s="39"/>
      <c r="O87" s="39"/>
      <c r="P87" s="39"/>
      <c r="Q87" s="39"/>
      <c r="R87" s="39"/>
      <c r="S87" s="39"/>
      <c r="T87" s="39"/>
      <c r="U87" s="39"/>
      <c r="V87" s="39"/>
      <c r="W87" s="39"/>
      <c r="X87" s="39"/>
      <c r="Y87" s="39"/>
      <c r="Z87" s="39"/>
      <c r="AA87" s="39"/>
      <c r="AB87" s="39"/>
      <c r="AC87" s="39" t="s">
        <v>169</v>
      </c>
      <c r="AD87" s="52">
        <f>IF(AD95="","",((AD95-'RC'!$I$19)/'RC'!$J$19*'RC'!$K$19+(AD96-'RC'!$I$20)/'RC'!$J$20*'RC'!$K$20+AD97*'RC'!$K$21+AD98*'RC'!$K$22+AD79*'RC'!$K$23+'RC'!$K$24)*'RC'!$J$24+'RC'!$I$24)</f>
        <v>17835.040608240197</v>
      </c>
      <c r="AE87" s="52">
        <f>IF(AE95="","",((AE95-'RC'!$I$19)/'RC'!$J$19*'RC'!$K$19+(AE96-'RC'!$I$20)/'RC'!$J$20*'RC'!$K$20+AE97*'RC'!$K$21+AE98*'RC'!$K$22+AE79*'RC'!$K$23+'RC'!$K$24)*'RC'!$J$24+'RC'!$I$24)</f>
        <v>15257.915210428771</v>
      </c>
      <c r="AF87" s="52">
        <f>IF(AF95="","",((AF95-'RC'!$I$19)/'RC'!$J$19*'RC'!$K$19+(AF96-'RC'!$I$20)/'RC'!$J$20*'RC'!$K$20+AF97*'RC'!$K$21+AF98*'RC'!$K$22+AF79*'RC'!$K$23+'RC'!$K$24)*'RC'!$J$24+'RC'!$I$24)</f>
        <v>17835.040608240197</v>
      </c>
      <c r="AG87" s="52"/>
      <c r="AH87" s="52">
        <f>IF(AH95="","",((AH95-'RC'!$I$19)/'RC'!$J$19*'RC'!$K$19+(AH96-'RC'!$I$20)/'RC'!$J$20*'RC'!$K$20+AH97*'RC'!$K$21+AH98*'RC'!$K$22+AH79*'RC'!$K$23+'RC'!$K$24)*'RC'!$J$24+'RC'!$I$24)</f>
        <v>17835.040608240197</v>
      </c>
      <c r="AI87" s="52">
        <f>IF(AI95="","",((AI95-'RC'!$I$19)/'RC'!$J$19*'RC'!$K$19+(AI96-'RC'!$I$20)/'RC'!$J$20*'RC'!$K$20+AI97*'RC'!$K$21+AI98*'RC'!$K$22+AI79*'RC'!$K$23+'RC'!$K$24)*'RC'!$J$24+'RC'!$I$24)</f>
        <v>14622.667357299084</v>
      </c>
      <c r="AJ87" s="39"/>
      <c r="AK87" s="39"/>
    </row>
    <row r="88" spans="1:37" hidden="1">
      <c r="A88" s="39"/>
      <c r="B88" s="39"/>
      <c r="C88" s="39"/>
      <c r="D88" s="39" t="s">
        <v>585</v>
      </c>
      <c r="E88" s="39"/>
      <c r="F88" s="39"/>
      <c r="G88" s="39"/>
      <c r="H88" s="39"/>
      <c r="I88" s="39"/>
      <c r="J88" s="39"/>
      <c r="K88" s="39"/>
      <c r="L88" s="39"/>
      <c r="M88" s="39"/>
      <c r="N88" s="39"/>
      <c r="O88" s="39"/>
      <c r="P88" s="39"/>
      <c r="Q88" s="39"/>
      <c r="R88" s="39"/>
      <c r="S88" s="39"/>
      <c r="T88" s="39"/>
      <c r="U88" s="39"/>
      <c r="V88" s="39"/>
      <c r="W88" s="39"/>
      <c r="X88" s="39"/>
      <c r="Y88" s="39"/>
      <c r="Z88" s="39"/>
      <c r="AA88" s="39"/>
      <c r="AB88" s="40"/>
      <c r="AC88" s="39" t="s">
        <v>34</v>
      </c>
      <c r="AD88" s="44">
        <f>$J$25</f>
        <v>50</v>
      </c>
      <c r="AE88" s="44">
        <f>$E$25+$Q$25</f>
        <v>50</v>
      </c>
      <c r="AF88" s="44">
        <f>$E$25+$Q$25</f>
        <v>50</v>
      </c>
      <c r="AG88" s="44"/>
      <c r="AH88" s="44">
        <f>$E$25</f>
        <v>50</v>
      </c>
      <c r="AI88" s="44">
        <f>$Q$25</f>
        <v>0</v>
      </c>
      <c r="AJ88" s="39"/>
      <c r="AK88" s="39"/>
    </row>
    <row r="89" spans="1:37" hidden="1">
      <c r="A89" s="39"/>
      <c r="B89" s="39"/>
      <c r="C89" s="39"/>
      <c r="D89" s="39"/>
      <c r="E89" s="39" t="s">
        <v>364</v>
      </c>
      <c r="F89" s="39"/>
      <c r="G89" s="39"/>
      <c r="H89" s="39"/>
      <c r="I89" s="39"/>
      <c r="J89" s="39"/>
      <c r="K89" s="39"/>
      <c r="L89" s="39"/>
      <c r="M89" s="39"/>
      <c r="N89" s="39"/>
      <c r="O89" s="39"/>
      <c r="P89" s="39"/>
      <c r="Q89" s="39"/>
      <c r="R89" s="39"/>
      <c r="S89" s="39"/>
      <c r="T89" s="39"/>
      <c r="U89" s="39"/>
      <c r="V89" s="39"/>
      <c r="W89" s="39"/>
      <c r="X89" s="39"/>
      <c r="Y89" s="39"/>
      <c r="Z89" s="39"/>
      <c r="AA89" s="39"/>
      <c r="AB89" s="39"/>
      <c r="AC89" s="39" t="s">
        <v>35</v>
      </c>
      <c r="AD89" s="44">
        <f>IF(OR($J$30=Choices!$B$17,$J$31=Choices!$B$17,$J$32=Choices!$B$17,$J$33=Choices!$B$17),1,0)</f>
        <v>0</v>
      </c>
      <c r="AE89" s="44">
        <f>IF($Q$50=Choices!$B$36,IF(OR($E$30=Choices!$B$17,$E$31=Choices!$B$17,$E$32=Choices!$B$17,$E$33=Choices!$B$17,$Q$30=Choices!$B$17,$Q$31=Choices!$B$17,$Q$32=Choices!$B$17,$Q$33=Choices!$B$17),1,0),IF(OR($Q$30=Choices!$B$17,$Q$31=Choices!$B$17,$Q$32=Choices!$B$17,$Q$33=Choices!$B$17),1,0))</f>
        <v>0</v>
      </c>
      <c r="AF89" s="44">
        <f>IF(OR($E$30=Choices!$B$17,$E$31=Choices!$B$17,$E$32=Choices!$B$17,$E$33=Choices!$B$17,$Q$30=Choices!$B$17,$Q$31=Choices!$B$17,$Q$32=Choices!$B$17,$Q$33=Choices!$B$17),1,0)</f>
        <v>0</v>
      </c>
      <c r="AG89" s="44"/>
      <c r="AH89" s="44">
        <f>IF(OR($E$30=Choices!$B$17,$E$31=Choices!$B$17,$E$32=Choices!$B$17,$E$33=Choices!$B$17),1,0)</f>
        <v>0</v>
      </c>
      <c r="AI89" s="44">
        <f>IF(OR($Q$30=Choices!$B$17,$Q$31=Choices!$B$17,$Q$32=Choices!$B$17,$Q$33=Choices!$B$17),1,0)</f>
        <v>0</v>
      </c>
      <c r="AJ89" s="39"/>
      <c r="AK89" s="39"/>
    </row>
    <row r="90" spans="1:37" hidden="1">
      <c r="A90" s="39"/>
      <c r="B90" s="39"/>
      <c r="C90" s="39"/>
      <c r="D90" s="39"/>
      <c r="E90" s="39" t="s">
        <v>365</v>
      </c>
      <c r="F90" s="39"/>
      <c r="G90" s="39"/>
      <c r="H90" s="39"/>
      <c r="I90" s="39"/>
      <c r="J90" s="39"/>
      <c r="K90" s="39"/>
      <c r="L90" s="39"/>
      <c r="M90" s="39"/>
      <c r="N90" s="39"/>
      <c r="O90" s="39"/>
      <c r="P90" s="39"/>
      <c r="Q90" s="39"/>
      <c r="R90" s="39"/>
      <c r="S90" s="39"/>
      <c r="T90" s="39"/>
      <c r="U90" s="39"/>
      <c r="V90" s="39"/>
      <c r="W90" s="39"/>
      <c r="X90" s="39"/>
      <c r="Y90" s="39"/>
      <c r="Z90" s="39"/>
      <c r="AA90" s="39"/>
      <c r="AB90" s="39"/>
      <c r="AC90" s="39" t="s">
        <v>36</v>
      </c>
      <c r="AD90" s="44">
        <f>IF(OR($J$34=Choices!$B$21,$J$35=Choices!$B$21,$J$36=Choices!$B$21,$J$37=Choices!$B$21),1,0)</f>
        <v>0</v>
      </c>
      <c r="AE90" s="44">
        <f>IF($Q$51=Choices!$B$36,IF(OR($E$34=Choices!$B$21,$E$35=Choices!$B$21,$E$36=Choices!$B$21,$E$37=Choices!$B$21,$Q$34=Choices!$B$21,$Q$35=Choices!$B$21,$Q$36=Choices!$B$21,$Q$37=Choices!$B$21),1,0),IF(OR($Q$34=Choices!$B$21,$Q$35=Choices!$B$21,$Q$36=Choices!$B$21,$Q$37=Choices!$B$21),1,0))</f>
        <v>0</v>
      </c>
      <c r="AF90" s="44">
        <f>IF(OR($E$34=Choices!$B$21,$E$35=Choices!$B$21,$E$36=Choices!$B$21,$E$37=Choices!$B$21,$Q$34=Choices!$B$21,$Q$35=Choices!$B$21,$Q$36=Choices!$B$21,$Q$37=Choices!$B$21),1,0)</f>
        <v>0</v>
      </c>
      <c r="AG90" s="44"/>
      <c r="AH90" s="44">
        <f>IF(OR($J$34=Choices!$B$21,$J$35=Choices!$B$21,$J$36=Choices!$B$21,$J$37=Choices!$B$21),1,0)</f>
        <v>0</v>
      </c>
      <c r="AI90" s="44">
        <f>IF(OR($Q$34=Choices!$B$21,$Q$35=Choices!$B$21,$Q$36=Choices!$B$21,$Q$37=Choices!$B$21),1,0)</f>
        <v>0</v>
      </c>
      <c r="AJ90" s="39"/>
      <c r="AK90" s="39"/>
    </row>
    <row r="91" spans="1:37" hidden="1">
      <c r="A91" s="39"/>
      <c r="B91" s="39"/>
      <c r="C91" s="39"/>
      <c r="D91" s="39"/>
      <c r="E91" s="39" t="s">
        <v>366</v>
      </c>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row>
    <row r="92" spans="1:37" hidden="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t="s">
        <v>169</v>
      </c>
      <c r="AD92" s="52">
        <f>IF(AD88="","",((AD88-'RC'!$I$12)/'RC'!$J$12*'RC'!$K$12+AD89*'RC'!$K$13+AD90*'RC'!$K$14+'RC'!$K$15)*'RC'!$J$15+'RC'!$I$15)</f>
        <v>20884.388054453899</v>
      </c>
      <c r="AE92" s="52">
        <f>IF(AE88="","",((AE88-'RC'!$I$12)/'RC'!$J$12*'RC'!$K$12+AE89*'RC'!$K$13+AE90*'RC'!$K$14+'RC'!$K$15)*'RC'!$J$15+'RC'!$I$15)</f>
        <v>20884.388054453899</v>
      </c>
      <c r="AF92" s="52">
        <f>IF(AF88="","",((AF88-'RC'!$I$12)/'RC'!$J$12*'RC'!$K$12+AF89*'RC'!$K$13+AF90*'RC'!$K$14+'RC'!$K$15)*'RC'!$J$15+'RC'!$I$15)</f>
        <v>20884.388054453899</v>
      </c>
      <c r="AG92" s="52"/>
      <c r="AH92" s="52">
        <f>IF(AH88="","",((AH88-'RC'!$I$12)/'RC'!$J$12*'RC'!$K$12+AH89*'RC'!$K$13+AH90*'RC'!$K$14+'RC'!$K$15)*'RC'!$J$15+'RC'!$I$15)</f>
        <v>20884.388054453899</v>
      </c>
      <c r="AI92" s="52">
        <f>IF(AI88="","",((AI88-'RC'!$I$12)/'RC'!$J$12*'RC'!$K$12+AI89*'RC'!$K$13+AI90*'RC'!$K$14+'RC'!$K$15)*'RC'!$J$15+'RC'!$I$15)</f>
        <v>20246.178535711457</v>
      </c>
      <c r="AJ92" s="39"/>
      <c r="AK92" s="39"/>
    </row>
    <row r="93" spans="1:37" hidden="1">
      <c r="A93" s="39"/>
      <c r="B93" s="39"/>
      <c r="C93" s="39"/>
      <c r="D93" s="39" t="s">
        <v>587</v>
      </c>
      <c r="E93" s="39"/>
      <c r="F93" s="39"/>
      <c r="G93" s="39"/>
      <c r="H93" s="39"/>
      <c r="I93" s="39"/>
      <c r="J93" s="39"/>
      <c r="K93" s="39"/>
      <c r="L93" s="39"/>
      <c r="M93" s="39"/>
      <c r="N93" s="39"/>
      <c r="O93" s="39"/>
      <c r="P93" s="39"/>
      <c r="Q93" s="39"/>
      <c r="R93" s="39"/>
      <c r="S93" s="39"/>
      <c r="T93" s="39"/>
      <c r="U93" s="39"/>
      <c r="V93" s="39"/>
      <c r="W93" s="39"/>
      <c r="X93" s="39"/>
      <c r="Y93" s="39"/>
      <c r="Z93" s="39"/>
      <c r="AA93" s="39"/>
      <c r="AB93" s="49"/>
      <c r="AC93" s="49"/>
      <c r="AD93" s="49"/>
      <c r="AE93" s="49"/>
      <c r="AF93" s="49"/>
      <c r="AG93" s="49"/>
      <c r="AH93" s="49"/>
      <c r="AI93" s="49"/>
      <c r="AJ93" s="39"/>
      <c r="AK93" s="39"/>
    </row>
    <row r="94" spans="1:37" hidden="1">
      <c r="A94" s="39"/>
      <c r="B94" s="39"/>
      <c r="C94" s="39"/>
      <c r="D94" s="39"/>
      <c r="E94" s="39" t="s">
        <v>367</v>
      </c>
      <c r="F94" s="39"/>
      <c r="G94" s="39"/>
      <c r="H94" s="39"/>
      <c r="I94" s="39"/>
      <c r="J94" s="39"/>
      <c r="K94" s="39"/>
      <c r="L94" s="39"/>
      <c r="M94" s="39"/>
      <c r="N94" s="39"/>
      <c r="O94" s="39"/>
      <c r="P94" s="39"/>
      <c r="Q94" s="39"/>
      <c r="R94" s="39"/>
      <c r="S94" s="39"/>
      <c r="T94" s="39"/>
      <c r="U94" s="39"/>
      <c r="V94" s="39"/>
      <c r="W94" s="39"/>
      <c r="X94" s="39"/>
      <c r="Y94" s="39"/>
      <c r="Z94" s="39"/>
      <c r="AA94" s="39"/>
      <c r="AB94" s="39" t="s">
        <v>13</v>
      </c>
      <c r="AC94" s="39"/>
      <c r="AD94" s="39"/>
      <c r="AE94" s="39"/>
      <c r="AF94" s="39"/>
      <c r="AG94" s="39"/>
      <c r="AH94" s="39"/>
      <c r="AI94" s="39"/>
      <c r="AJ94" s="39"/>
      <c r="AK94" s="39"/>
    </row>
    <row r="95" spans="1:37" hidden="1">
      <c r="A95" s="39"/>
      <c r="B95" s="39"/>
      <c r="C95" s="39"/>
      <c r="D95" s="39"/>
      <c r="E95" s="39" t="s">
        <v>368</v>
      </c>
      <c r="F95" s="39"/>
      <c r="G95" s="39"/>
      <c r="H95" s="39"/>
      <c r="I95" s="39"/>
      <c r="J95" s="39"/>
      <c r="K95" s="39"/>
      <c r="L95" s="39"/>
      <c r="M95" s="39"/>
      <c r="N95" s="39"/>
      <c r="O95" s="39"/>
      <c r="P95" s="39"/>
      <c r="Q95" s="39"/>
      <c r="R95" s="39"/>
      <c r="S95" s="39"/>
      <c r="T95" s="39"/>
      <c r="U95" s="39"/>
      <c r="V95" s="39"/>
      <c r="W95" s="39"/>
      <c r="X95" s="39"/>
      <c r="Y95" s="39"/>
      <c r="Z95" s="39"/>
      <c r="AA95" s="39"/>
      <c r="AB95" s="39"/>
      <c r="AC95" s="39" t="s">
        <v>17</v>
      </c>
      <c r="AD95" s="44">
        <f>$J$25</f>
        <v>50</v>
      </c>
      <c r="AE95" s="44">
        <f>$E$25+$Q$25</f>
        <v>50</v>
      </c>
      <c r="AF95" s="44">
        <f>$E$25+$Q$25</f>
        <v>50</v>
      </c>
      <c r="AG95" s="44"/>
      <c r="AH95" s="44">
        <f>$E$25</f>
        <v>50</v>
      </c>
      <c r="AI95" s="44">
        <f>$Q$25</f>
        <v>0</v>
      </c>
      <c r="AJ95" s="39"/>
      <c r="AK95" s="39"/>
    </row>
    <row r="96" spans="1:37" hidden="1">
      <c r="A96" s="39"/>
      <c r="B96" s="39"/>
      <c r="C96" s="39"/>
      <c r="D96" s="39"/>
      <c r="E96" s="39" t="s">
        <v>369</v>
      </c>
      <c r="F96" s="39"/>
      <c r="G96" s="39"/>
      <c r="H96" s="39"/>
      <c r="I96" s="39"/>
      <c r="J96" s="39"/>
      <c r="K96" s="39"/>
      <c r="L96" s="39"/>
      <c r="M96" s="39"/>
      <c r="N96" s="39"/>
      <c r="O96" s="39"/>
      <c r="P96" s="39"/>
      <c r="Q96" s="39"/>
      <c r="R96" s="39"/>
      <c r="S96" s="39"/>
      <c r="T96" s="39"/>
      <c r="U96" s="39"/>
      <c r="V96" s="39"/>
      <c r="W96" s="39"/>
      <c r="X96" s="39"/>
      <c r="Y96" s="39"/>
      <c r="Z96" s="39"/>
      <c r="AA96" s="39"/>
      <c r="AB96" s="39"/>
      <c r="AC96" s="39" t="s">
        <v>10</v>
      </c>
      <c r="AD96" s="44">
        <f>$E$38</f>
        <v>1</v>
      </c>
      <c r="AE96" s="44">
        <f>IF($Q$51=Choices!$B$36,$E$38+$Q$38,$Q$38)</f>
        <v>0</v>
      </c>
      <c r="AF96" s="44">
        <f>$E$38+$Q$38</f>
        <v>1</v>
      </c>
      <c r="AG96" s="44"/>
      <c r="AH96" s="44">
        <f>$E$38</f>
        <v>1</v>
      </c>
      <c r="AI96" s="44">
        <f>$Q$38</f>
        <v>0</v>
      </c>
      <c r="AJ96" s="39"/>
      <c r="AK96" s="39"/>
    </row>
    <row r="97" spans="1:37" hidden="1">
      <c r="A97" s="39"/>
      <c r="B97" s="39"/>
      <c r="C97" s="39"/>
      <c r="D97" s="39"/>
      <c r="E97" s="39" t="s">
        <v>370</v>
      </c>
      <c r="F97" s="39"/>
      <c r="G97" s="39"/>
      <c r="H97" s="39"/>
      <c r="I97" s="39"/>
      <c r="J97" s="39"/>
      <c r="K97" s="39"/>
      <c r="L97" s="39"/>
      <c r="M97" s="39"/>
      <c r="N97" s="39"/>
      <c r="O97" s="39"/>
      <c r="P97" s="39"/>
      <c r="Q97" s="39"/>
      <c r="R97" s="39"/>
      <c r="S97" s="39"/>
      <c r="T97" s="39"/>
      <c r="U97" s="39"/>
      <c r="V97" s="39"/>
      <c r="W97" s="39"/>
      <c r="X97" s="39"/>
      <c r="Y97" s="39"/>
      <c r="Z97" s="39"/>
      <c r="AA97" s="39"/>
      <c r="AB97" s="39"/>
      <c r="AC97" s="39" t="s">
        <v>18</v>
      </c>
      <c r="AD97" s="44">
        <f>IF(OR($J$30=Choices!$B$17,$J$31=Choices!$B$17,$J$32=Choices!$B$17,$J$33=Choices!$B$17),1,0)</f>
        <v>0</v>
      </c>
      <c r="AE97" s="44">
        <f>IF($Q$50=Choices!$B$36,IF(OR($E$30=Choices!$B$17,$E$31=Choices!$B$17,$E$32=Choices!$B$17,$E$33=Choices!$B$17,$Q$30=Choices!$B$17,$Q$31=Choices!$B$17,$Q$32=Choices!$B$17,$Q$33=Choices!$B$17),1,0),IF(OR($Q$30=Choices!$B$17,$Q$31=Choices!$B$17,$Q$32=Choices!$B$17,$Q$33=Choices!$B$17),1,0))</f>
        <v>0</v>
      </c>
      <c r="AF97" s="44">
        <f>IF(OR($E$30=Choices!$B$17,$E$31=Choices!$B$17,$E$32=Choices!$B$17,$E$33=Choices!$B$17,$Q$30=Choices!$B$17,$Q$31=Choices!$B$17,$Q$32=Choices!$B$17,$Q$33=Choices!$B$17),1,0)</f>
        <v>0</v>
      </c>
      <c r="AG97" s="44"/>
      <c r="AH97" s="44">
        <f>IF(OR($E$30=Choices!$B$17,$E$31=Choices!$B$17,$E$32=Choices!$B$17,$E$33=Choices!$B$17),1,0)</f>
        <v>0</v>
      </c>
      <c r="AI97" s="44">
        <f>IF(OR($Q$30=Choices!$B$17,$Q$31=Choices!$B$17,$Q$32=Choices!$B$17,$Q$33=Choices!$B$17),1,0)</f>
        <v>0</v>
      </c>
      <c r="AJ97" s="39"/>
      <c r="AK97" s="39"/>
    </row>
    <row r="98" spans="1:37" hidden="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t="s">
        <v>16</v>
      </c>
      <c r="AD98" s="44">
        <f>IF(OR($J$34=Choices!$B$20,$J$35=Choices!$B$20,$J$36=Choices!$B$20,$J$37=Choices!$B$20),1,0)</f>
        <v>0</v>
      </c>
      <c r="AE98" s="44">
        <f>IF($Q$51=Choices!$B$36,IF(OR($E$34=Choices!$B$20,$E$35=Choices!$B$20,$E$36=Choices!$B$20,$E$37=Choices!$B$20,$Q$34=Choices!$B$20,$Q$35=Choices!$B$20,$Q$36=Choices!$B$20,$Q$37=Choices!$B$20),1,0),IF(OR($Q$34=Choices!$B$20,$Q$35=Choices!$B$20,$Q$36=Choices!$B$20,$Q$37=Choices!$B$20),1,0))</f>
        <v>0</v>
      </c>
      <c r="AF98" s="44">
        <f>IF(OR($E$34=Choices!$B$20,$E$35=Choices!$B$20,$E$36=Choices!$B$20,$E$37=Choices!$B$20,$Q$34=Choices!$B$20,$Q$35=Choices!$B$20,$Q$36=Choices!$B$20,$Q$37=Choices!$B$20),1,0)</f>
        <v>0</v>
      </c>
      <c r="AG98" s="44"/>
      <c r="AH98" s="44">
        <f>IF(OR($E$34=Choices!$B$20,$E$35=Choices!$B$20,$E$36=Choices!$B$20,$E$37=Choices!$B$20),1,0)</f>
        <v>0</v>
      </c>
      <c r="AI98" s="44">
        <f>IF(OR($Q$34=Choices!$B$20,$Q$35=Choices!$B$20,$Q$36=Choices!$B$20,$Q$37=Choices!$B$20),1,0)</f>
        <v>0</v>
      </c>
      <c r="AJ98" s="39"/>
      <c r="AK98" s="39"/>
    </row>
    <row r="99" spans="1:37" hidden="1">
      <c r="A99" s="39"/>
      <c r="B99" s="39"/>
      <c r="C99" s="39"/>
      <c r="D99" s="39" t="s">
        <v>431</v>
      </c>
      <c r="E99" s="39"/>
      <c r="F99" s="39"/>
      <c r="G99" s="39"/>
      <c r="H99" s="39"/>
      <c r="I99" s="39"/>
      <c r="J99" s="39"/>
      <c r="K99" s="39"/>
      <c r="L99" s="39"/>
      <c r="M99" s="39"/>
      <c r="N99" s="39"/>
      <c r="O99" s="39"/>
      <c r="P99" s="39"/>
      <c r="Q99" s="39"/>
      <c r="R99" s="39"/>
      <c r="S99" s="39"/>
      <c r="T99" s="39"/>
      <c r="U99" s="39"/>
      <c r="V99" s="39"/>
      <c r="W99" s="39"/>
      <c r="X99" s="39"/>
      <c r="Y99" s="39"/>
      <c r="Z99" s="39"/>
      <c r="AA99" s="39"/>
      <c r="AB99" s="49"/>
      <c r="AC99" s="49"/>
      <c r="AD99" s="49"/>
      <c r="AE99" s="49"/>
      <c r="AF99" s="49"/>
      <c r="AG99" s="49"/>
      <c r="AH99" s="49"/>
      <c r="AI99" s="49"/>
      <c r="AJ99" s="39"/>
      <c r="AK99" s="39"/>
    </row>
    <row r="100" spans="1:37" hidden="1">
      <c r="A100" s="39"/>
      <c r="B100" s="39"/>
      <c r="C100" s="39"/>
      <c r="D100" s="39"/>
      <c r="E100" s="39" t="s">
        <v>373</v>
      </c>
      <c r="F100" s="39"/>
      <c r="G100" s="39"/>
      <c r="H100" s="39"/>
      <c r="I100" s="39"/>
      <c r="J100" s="39"/>
      <c r="K100" s="39"/>
      <c r="L100" s="39"/>
      <c r="M100" s="39"/>
      <c r="N100" s="39"/>
      <c r="O100" s="39"/>
      <c r="P100" s="39"/>
      <c r="Q100" s="39"/>
      <c r="R100" s="39"/>
      <c r="S100" s="39"/>
      <c r="T100" s="39"/>
      <c r="U100" s="39"/>
      <c r="V100" s="39"/>
      <c r="W100" s="39"/>
      <c r="X100" s="39"/>
      <c r="Y100" s="39"/>
      <c r="Z100" s="39"/>
      <c r="AA100" s="39"/>
      <c r="AB100" s="39" t="s">
        <v>14</v>
      </c>
      <c r="AC100" s="39"/>
      <c r="AD100" s="39"/>
      <c r="AE100" s="39"/>
      <c r="AF100" s="39"/>
      <c r="AG100" s="39"/>
      <c r="AH100" s="39"/>
      <c r="AI100" s="39"/>
      <c r="AJ100" s="39"/>
      <c r="AK100" s="39"/>
    </row>
    <row r="101" spans="1:37" hidden="1">
      <c r="A101" s="39"/>
      <c r="B101" s="39"/>
      <c r="C101" s="39"/>
      <c r="D101" s="39"/>
      <c r="E101" s="39" t="s">
        <v>381</v>
      </c>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t="s">
        <v>21</v>
      </c>
      <c r="AD101" s="44">
        <f>$J$26</f>
        <v>50</v>
      </c>
      <c r="AE101" s="44">
        <f>$E$26+$Q$26</f>
        <v>100</v>
      </c>
      <c r="AF101" s="44">
        <f>$E$26+$Q$26</f>
        <v>100</v>
      </c>
      <c r="AG101" s="44"/>
      <c r="AH101" s="44">
        <f>$E$26</f>
        <v>100</v>
      </c>
      <c r="AI101" s="44">
        <f>$Q$26</f>
        <v>0</v>
      </c>
      <c r="AJ101" s="39"/>
      <c r="AK101" s="39"/>
    </row>
    <row r="102" spans="1:37" hidden="1">
      <c r="A102" s="39"/>
      <c r="B102" s="39"/>
      <c r="C102" s="39"/>
      <c r="D102" s="39"/>
      <c r="E102" s="39" t="s">
        <v>472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t="s">
        <v>20</v>
      </c>
      <c r="AD102" s="44">
        <f>IF($J$23=Choices!$B$6,1,0)</f>
        <v>1</v>
      </c>
      <c r="AE102" s="44">
        <f>IF($Q$23=Choices!$B$6,1,0)</f>
        <v>0</v>
      </c>
      <c r="AF102" s="44">
        <f>IF($Q$23=Choices!$B$6,1,0)</f>
        <v>0</v>
      </c>
      <c r="AG102" s="44"/>
      <c r="AH102" s="44">
        <f>IF($E$23=Choices!$B$6,1,0)</f>
        <v>1</v>
      </c>
      <c r="AI102" s="44">
        <f>IF($Q$23=Choices!$B$6,1,0)</f>
        <v>0</v>
      </c>
      <c r="AJ102" s="39"/>
      <c r="AK102" s="39"/>
    </row>
    <row r="103" spans="1:37" hidden="1">
      <c r="A103" s="39"/>
      <c r="B103" s="39"/>
      <c r="C103" s="39"/>
      <c r="D103" s="39" t="s">
        <v>222</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row>
    <row r="104" spans="1:37" hidden="1">
      <c r="A104" s="39"/>
      <c r="B104" s="39"/>
      <c r="C104" s="39"/>
      <c r="D104" s="39"/>
      <c r="E104" s="39" t="s">
        <v>595</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t="s">
        <v>169</v>
      </c>
      <c r="AD104" s="52">
        <f>IF(AD101="","",(AD101-'RC'!$I$28)/'RC'!$J$28*'RC'!$K$28+AD102*'RC'!$K$29+'RC'!$K$30)/1000</f>
        <v>1497.4581203876673</v>
      </c>
      <c r="AE104" s="52">
        <f>IF(AE101="","",(AE101-'RC'!$I$28)/'RC'!$J$28*'RC'!$K$28+AE102*'RC'!$K$29+'RC'!$K$30)/1000</f>
        <v>614.19704716856779</v>
      </c>
      <c r="AF104" s="52">
        <f>IF(AF101="","",(AF101-'RC'!$I$28)/'RC'!$J$28*'RC'!$K$28+AF102*'RC'!$K$29+'RC'!$K$30)/1000</f>
        <v>614.19704716856779</v>
      </c>
      <c r="AG104" s="52"/>
      <c r="AH104" s="52">
        <f>IF(AH101="","",(AH101-'RC'!$I$28)/'RC'!$J$28*'RC'!$K$28+AH102*'RC'!$K$29+'RC'!$K$30)/1000</f>
        <v>2019.8859732041299</v>
      </c>
      <c r="AI104" s="52">
        <f>IF(AI101="","",(AI101-'RC'!$I$28)/'RC'!$J$28*'RC'!$K$28+AI102*'RC'!$K$29+'RC'!$K$30)/1000</f>
        <v>-430.65865846435747</v>
      </c>
      <c r="AJ104" s="39"/>
      <c r="AK104" s="39"/>
    </row>
    <row r="105" spans="1:37" hidden="1">
      <c r="A105" s="39"/>
      <c r="B105" s="39"/>
      <c r="C105" s="39"/>
      <c r="D105" s="39"/>
      <c r="E105" s="39" t="s">
        <v>590</v>
      </c>
      <c r="F105" s="39"/>
      <c r="G105" s="39"/>
      <c r="H105" s="39"/>
      <c r="I105" s="39"/>
      <c r="J105" s="39"/>
      <c r="K105" s="39"/>
      <c r="L105" s="39"/>
      <c r="M105" s="39"/>
      <c r="N105" s="39"/>
      <c r="O105" s="39"/>
      <c r="P105" s="39"/>
      <c r="Q105" s="39"/>
      <c r="R105" s="39"/>
      <c r="S105" s="39"/>
      <c r="T105" s="39"/>
      <c r="U105" s="39"/>
      <c r="V105" s="39"/>
      <c r="W105" s="39"/>
      <c r="X105" s="39"/>
      <c r="Y105" s="39"/>
      <c r="Z105" s="39"/>
      <c r="AA105" s="39"/>
      <c r="AB105" s="49"/>
      <c r="AC105" s="49"/>
      <c r="AD105" s="49"/>
      <c r="AE105" s="49"/>
      <c r="AF105" s="49"/>
      <c r="AG105" s="49"/>
      <c r="AH105" s="49"/>
      <c r="AI105" s="49"/>
      <c r="AJ105" s="39"/>
      <c r="AK105" s="39"/>
    </row>
    <row r="106" spans="1:37" hidden="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119" t="s">
        <v>338</v>
      </c>
      <c r="AC106" s="53"/>
      <c r="AD106" s="53"/>
      <c r="AE106" s="39"/>
      <c r="AF106" s="39"/>
      <c r="AG106" s="39"/>
      <c r="AH106" s="39"/>
      <c r="AI106" s="39"/>
      <c r="AJ106" s="39"/>
      <c r="AK106" s="39"/>
    </row>
    <row r="107" spans="1:37" hidden="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t="s">
        <v>435</v>
      </c>
      <c r="AD107" s="39"/>
      <c r="AE107" s="39"/>
      <c r="AF107" s="39"/>
      <c r="AG107" s="44">
        <f>$Y$24+$Y$25</f>
        <v>0</v>
      </c>
      <c r="AH107" s="39"/>
      <c r="AI107" s="39"/>
      <c r="AJ107" s="39"/>
      <c r="AK107" s="39"/>
    </row>
    <row r="108" spans="1:37" hidden="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t="s">
        <v>436</v>
      </c>
      <c r="AD108" s="39"/>
      <c r="AE108" s="39"/>
      <c r="AF108" s="39"/>
      <c r="AG108" s="44">
        <f>$Y$24+$Y$26</f>
        <v>0</v>
      </c>
      <c r="AH108" s="39"/>
      <c r="AI108" s="39"/>
      <c r="AJ108" s="39"/>
      <c r="AK108" s="39"/>
    </row>
    <row r="109" spans="1:37" hidden="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53"/>
      <c r="AC109" s="40" t="s">
        <v>169</v>
      </c>
      <c r="AD109" s="53"/>
      <c r="AE109" s="39"/>
      <c r="AF109" s="39"/>
      <c r="AG109" s="44">
        <f>($AG$107*'RC'!$C$50+$AG$108*'RC'!$C$51)/1000</f>
        <v>0</v>
      </c>
      <c r="AH109" s="39"/>
      <c r="AI109" s="39"/>
      <c r="AJ109" s="39"/>
      <c r="AK109" s="39"/>
    </row>
    <row r="110" spans="1:37" hidden="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row>
    <row r="111" spans="1:37">
      <c r="AB111" s="6"/>
    </row>
    <row r="133" spans="9:9">
      <c r="I133" s="10"/>
    </row>
  </sheetData>
  <sheetProtection sheet="1" objects="1" scenarios="1"/>
  <mergeCells count="5">
    <mergeCell ref="I4:I5"/>
    <mergeCell ref="J4:J5"/>
    <mergeCell ref="Q11:Y17"/>
    <mergeCell ref="D13:D15"/>
    <mergeCell ref="P55:Q55"/>
  </mergeCells>
  <phoneticPr fontId="1"/>
  <dataValidations count="5">
    <dataValidation type="whole" operator="greaterThanOrEqual" allowBlank="1" showInputMessage="1" showErrorMessage="1" promptTitle="配水池容量" prompt="一般的には，必要な日配水量の半分程度の容量を確保します．_x000a_配水池の容量を増やす場合は，配水池の数量を増やしてください．" sqref="K49 R47 K53" xr:uid="{1048F7E1-C6C3-4F07-BCA8-9AF1B4CCEC13}">
      <formula1>0</formula1>
    </dataValidation>
    <dataValidation type="whole" operator="greaterThanOrEqual" allowBlank="1" showInputMessage="1" showErrorMessage="1" sqref="Y33 Q38 K42:K48 Y44 Y48 Y51 Y54 R42:R46 R48:R52 E38 J38 K50:K52" xr:uid="{C8375252-3814-49B9-9F92-24FC1E0C4E3D}">
      <formula1>0</formula1>
    </dataValidation>
    <dataValidation type="whole" operator="greaterThan" allowBlank="1" showInputMessage="1" showErrorMessage="1" promptTitle="接続先の余力確認" prompt="接続先の，計画給水人口と現在給水人口の差が，再編対象水道の現在給水人口より大きいことを確認してください" sqref="Q24" xr:uid="{AC52AB47-8D90-4063-A8C1-B153293A290C}">
      <formula1>0</formula1>
    </dataValidation>
    <dataValidation type="whole" operator="greaterThan" allowBlank="1" showInputMessage="1" showErrorMessage="1" promptTitle="接続あるいは統合先の給水人口" prompt="接続あるいは統合前の現在給水人口を入力してください．" sqref="Q25" xr:uid="{A60F2A38-2D77-4EE0-A92F-CC2D0BA06658}">
      <formula1>0</formula1>
    </dataValidation>
    <dataValidation type="whole" operator="greaterThan" allowBlank="1" showInputMessage="1" showErrorMessage="1" sqref="E24:E26 J24:J26 Y38 Y24:Y26 Y31 Q26 Y36" xr:uid="{7F4EF042-6C03-4851-BD80-6C0DC0791714}">
      <formula1>0</formula1>
    </dataValidation>
  </dataValidations>
  <pageMargins left="0.70866141732283472" right="0.70866141732283472" top="0.74803149606299213" bottom="0.74803149606299213" header="0.31496062992125984" footer="0.31496062992125984"/>
  <pageSetup paperSize="8" scale="70"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locked="0" defaultSize="0" autoFill="0" autoLine="0" autoPict="0">
                <anchor moveWithCells="1">
                  <from>
                    <xdr:col>2</xdr:col>
                    <xdr:colOff>19050</xdr:colOff>
                    <xdr:row>4</xdr:row>
                    <xdr:rowOff>228600</xdr:rowOff>
                  </from>
                  <to>
                    <xdr:col>3</xdr:col>
                    <xdr:colOff>85725</xdr:colOff>
                    <xdr:row>6</xdr:row>
                    <xdr:rowOff>0</xdr:rowOff>
                  </to>
                </anchor>
              </controlPr>
            </control>
          </mc:Choice>
        </mc:AlternateContent>
        <mc:AlternateContent xmlns:mc="http://schemas.openxmlformats.org/markup-compatibility/2006">
          <mc:Choice Requires="x14">
            <control shapeId="52226" r:id="rId5" name="Check Box 2">
              <controlPr locked="0" defaultSize="0" autoFill="0" autoLine="0" autoPict="0">
                <anchor moveWithCells="1">
                  <from>
                    <xdr:col>2</xdr:col>
                    <xdr:colOff>19050</xdr:colOff>
                    <xdr:row>5</xdr:row>
                    <xdr:rowOff>228600</xdr:rowOff>
                  </from>
                  <to>
                    <xdr:col>3</xdr:col>
                    <xdr:colOff>85725</xdr:colOff>
                    <xdr:row>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617B710-BC3E-4BD7-AA01-7AE7B1A5FF19}">
            <xm:f>$J$4&lt;&gt;Choices!$B$26</xm:f>
            <x14:dxf>
              <fill>
                <patternFill>
                  <bgColor theme="6" tint="0.59996337778862885"/>
                </patternFill>
              </fill>
            </x14:dxf>
          </x14:cfRule>
          <xm:sqref>J23:J27 J30:J38</xm:sqref>
        </x14:conditionalFormatting>
        <x14:conditionalFormatting xmlns:xm="http://schemas.microsoft.com/office/excel/2006/main">
          <x14:cfRule type="expression" priority="1" id="{7213717A-703A-4280-8B04-1E92FA1FFE7A}">
            <xm:f>$J$4&lt;&gt;Choices!$B$26</xm:f>
            <x14:dxf>
              <fill>
                <patternFill>
                  <bgColor theme="6" tint="0.59996337778862885"/>
                </patternFill>
              </fill>
            </x14:dxf>
          </x14:cfRule>
          <x14:cfRule type="expression" priority="2" id="{89217B25-48F5-4CC2-98A2-F8175C42C80F}">
            <xm:f>$J$4=Choices!$B$26</xm:f>
            <x14:dxf>
              <fill>
                <patternFill>
                  <bgColor theme="7" tint="0.79998168889431442"/>
                </patternFill>
              </fill>
            </x14:dxf>
          </x14:cfRule>
          <xm:sqref>J42:K53</xm:sqref>
        </x14:conditionalFormatting>
        <x14:conditionalFormatting xmlns:xm="http://schemas.microsoft.com/office/excel/2006/main">
          <x14:cfRule type="expression" priority="4" id="{F9AD4989-FF89-4391-AF3E-7B817E21AA19}">
            <xm:f>OR($J$4="",$J$4=Choices!$B$26,$J$4=Choices!$B$29)</xm:f>
            <x14:dxf>
              <fill>
                <patternFill>
                  <bgColor theme="0" tint="-0.14996795556505021"/>
                </patternFill>
              </fill>
            </x14:dxf>
          </x14:cfRule>
          <xm:sqref>Q23:Q27 Q30:Q38</xm:sqref>
        </x14:conditionalFormatting>
        <x14:conditionalFormatting xmlns:xm="http://schemas.microsoft.com/office/excel/2006/main">
          <x14:cfRule type="expression" priority="5" id="{2CA8F799-D8A6-401E-B8C5-5AA88A2F32B4}">
            <xm:f>$J$4&lt;&gt;Choices!$B$27</xm:f>
            <x14:dxf>
              <fill>
                <patternFill>
                  <bgColor theme="6" tint="0.59996337778862885"/>
                </patternFill>
              </fill>
            </x14:dxf>
          </x14:cfRule>
          <x14:cfRule type="expression" priority="6" id="{35EC0787-BD5E-4290-8B83-B45D83B44B79}">
            <xm:f>$J$4=Choices!$B$27</xm:f>
            <x14:dxf>
              <fill>
                <patternFill>
                  <bgColor theme="7" tint="0.79998168889431442"/>
                </patternFill>
              </fill>
            </x14:dxf>
          </x14:cfRule>
          <xm:sqref>Q43:R47 Q50:Q51 P55</xm:sqref>
        </x14:conditionalFormatting>
        <x14:conditionalFormatting xmlns:xm="http://schemas.microsoft.com/office/excel/2006/main">
          <x14:cfRule type="expression" priority="7" id="{87C23DC2-791D-49E0-B241-F1326256887B}">
            <xm:f>$J$4&lt;&gt;Choices!$B$29</xm:f>
            <x14:dxf>
              <fill>
                <patternFill>
                  <bgColor theme="6" tint="0.59996337778862885"/>
                </patternFill>
              </fill>
            </x14:dxf>
          </x14:cfRule>
          <xm:sqref>X23 Y24:Y26 Y31 Y33 Y36 Y38 X43:Y44 X46:Y48 X50:Y51 X53:Y54</xm:sqref>
        </x14:conditionalFormatting>
        <x14:conditionalFormatting xmlns:xm="http://schemas.microsoft.com/office/excel/2006/main">
          <x14:cfRule type="expression" priority="8" id="{FF47EC9B-FF7F-467A-AEAA-6478AF5A113D}">
            <xm:f>$J$4=Choices!$B$29</xm:f>
            <x14:dxf>
              <fill>
                <patternFill>
                  <bgColor theme="9" tint="0.59996337778862885"/>
                </patternFill>
              </fill>
            </x14:dxf>
          </x14:cfRule>
          <xm:sqref>X43:Y43 X46:Y47 X50:Y50 X53:Y53</xm:sqref>
        </x14:conditionalFormatting>
        <x14:conditionalFormatting xmlns:xm="http://schemas.microsoft.com/office/excel/2006/main">
          <x14:cfRule type="expression" priority="9" id="{77E8285C-CDAC-42DA-86FC-D2C7C2D26B36}">
            <xm:f>$J$4=Choices!$B$29</xm:f>
            <x14:dxf>
              <fill>
                <patternFill>
                  <bgColor theme="7" tint="0.79998168889431442"/>
                </patternFill>
              </fill>
            </x14:dxf>
          </x14:cfRule>
          <xm:sqref>X44:Y44 X48:Y48 X51:Y51 X54:Y54</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DA1A8913-5539-4D0B-B266-1B04D59C6BD6}">
          <x14:formula1>
            <xm:f>Choices!$B$26:$B$30</xm:f>
          </x14:formula1>
          <xm:sqref>J4:J5</xm:sqref>
        </x14:dataValidation>
        <x14:dataValidation type="list" showInputMessage="1" showErrorMessage="1" promptTitle="事業の統合" prompt="・事業を統合する：管路を接続するなど施設を一体化し，事業（および経営）を統合する場合です．_x000a_・事業を統合しない：管路は接続しますが，事業（および経営）は接続先と別々にする場合です．" xr:uid="{80A51462-13AF-4978-9E8B-8A09A3395AE9}">
          <x14:formula1>
            <xm:f>Choices!$B$40:$B$42</xm:f>
          </x14:formula1>
          <xm:sqref>P55:Q55</xm:sqref>
        </x14:dataValidation>
        <x14:dataValidation type="list" allowBlank="1" showInputMessage="1" showErrorMessage="1" prompt="共同井戸の場合，井戸から各戸までを接続する配管について選択・入力してください．" xr:uid="{1DAD5E42-32BB-4A93-B0A3-0F7C672ECEF4}">
          <x14:formula1>
            <xm:f>IC!$B$5:$B$13</xm:f>
          </x14:formula1>
          <xm:sqref>X44 X48 X51 X54</xm:sqref>
        </x14:dataValidation>
        <x14:dataValidation type="list" allowBlank="1" showInputMessage="1" showErrorMessage="1" promptTitle="処理方式" prompt="(2)で選択した処理方式に応じて浄水設備を選択してください．" xr:uid="{856EAB9B-BCBB-4DE8-B2D2-9A8F594D511D}">
          <x14:formula1>
            <xm:f>IC!$B$25:$B$31</xm:f>
          </x14:formula1>
          <xm:sqref>J47</xm:sqref>
        </x14:dataValidation>
        <x14:dataValidation type="list" allowBlank="1" showInputMessage="1" showErrorMessage="1" promptTitle="取水方式" prompt="(2)で選択した水源に応じて取水設備を選択してください．" xr:uid="{7E9307DE-BE03-4001-9423-857B13F8EA19}">
          <x14:formula1>
            <xm:f>IC!$B$16:$B$23</xm:f>
          </x14:formula1>
          <xm:sqref>J46</xm:sqref>
        </x14:dataValidation>
        <x14:dataValidation type="list" allowBlank="1" showInputMessage="1" showErrorMessage="1" promptTitle="配水池容量" prompt="一般的には，必要な日配水量の半分程度の容量を確保します．_x000a_配水池の容量を増やす場合は，配水池の数量を増やしてください．" xr:uid="{D382E720-5F46-49B2-8848-ECEF78A5C32C}">
          <x14:formula1>
            <xm:f>IC!$B$39:$B$42</xm:f>
          </x14:formula1>
          <xm:sqref>J49 Q47 J53</xm:sqref>
        </x14:dataValidation>
        <x14:dataValidation type="list" allowBlank="1" showInputMessage="1" showErrorMessage="1" prompt="自治体から地域への委託による場合は「水道利用組合等」を選択してください" xr:uid="{249C2065-AE12-4999-9A75-CF99A7A7FC20}">
          <x14:formula1>
            <xm:f>Choices!$B$8:$B$10</xm:f>
          </x14:formula1>
          <xm:sqref>E27 Q27 J27</xm:sqref>
        </x14:dataValidation>
        <x14:dataValidation type="list" allowBlank="1" showInputMessage="1" showErrorMessage="1" xr:uid="{518043C2-A14B-4526-A62F-EC16FC9048A1}">
          <x14:formula1>
            <xm:f>Choices!$B$2:$B$7</xm:f>
          </x14:formula1>
          <xm:sqref>E23 Q23 J23</xm:sqref>
        </x14:dataValidation>
        <x14:dataValidation type="list" allowBlank="1" showInputMessage="1" showErrorMessage="1" promptTitle="注意！" prompt="実際の水質に応じた処理を検討してください" xr:uid="{E9609E0F-4E8F-4838-8666-A331187558FD}">
          <x14:formula1>
            <xm:f>Choices!$B$19:$B$25</xm:f>
          </x14:formula1>
          <xm:sqref>J34:J37</xm:sqref>
        </x14:dataValidation>
        <x14:dataValidation type="list" showInputMessage="1" showErrorMessage="1" xr:uid="{32468B8E-7D12-4CB0-8A01-B87585EAB480}">
          <x14:formula1>
            <xm:f>Choices!$B$36:$B$38</xm:f>
          </x14:formula1>
          <xm:sqref>Q50:Q51</xm:sqref>
        </x14:dataValidation>
        <x14:dataValidation type="list" allowBlank="1" showInputMessage="1" showErrorMessage="1" xr:uid="{72967913-A05B-4868-B540-F1409DE78908}">
          <x14:formula1>
            <xm:f>Choices!$B$19:$B$25</xm:f>
          </x14:formula1>
          <xm:sqref>E34:E37 Q34:Q37</xm:sqref>
        </x14:dataValidation>
        <x14:dataValidation type="list" allowBlank="1" showInputMessage="1" showErrorMessage="1" xr:uid="{AA178098-69DB-4A51-9707-E016C36795CE}">
          <x14:formula1>
            <xm:f>Choices!$B$11:$B$18</xm:f>
          </x14:formula1>
          <xm:sqref>E30:E33 Q30:Q33 J30:J33</xm:sqref>
        </x14:dataValidation>
        <x14:dataValidation type="list" allowBlank="1" showInputMessage="1" showErrorMessage="1" xr:uid="{3F3BE2A3-0172-4774-A120-2835EABF1360}">
          <x14:formula1>
            <xm:f>IC!$B$5:$B$14</xm:f>
          </x14:formula1>
          <xm:sqref>J42:J45 Q43:Q46</xm:sqref>
        </x14:dataValidation>
        <x14:dataValidation type="list" allowBlank="1" showInputMessage="1" showErrorMessage="1" xr:uid="{6384C22E-102E-4B58-B505-0AE72AD63567}">
          <x14:formula1>
            <xm:f>IC!$B$16:$B$23</xm:f>
          </x14:formula1>
          <xm:sqref>X53 X50 J50 X43 X46</xm:sqref>
        </x14:dataValidation>
        <x14:dataValidation type="list" allowBlank="1" showInputMessage="1" showErrorMessage="1" xr:uid="{E9B86CDF-EF19-4082-9B4F-B3344669C7AD}">
          <x14:formula1>
            <xm:f>IC!$B$34:$B$37</xm:f>
          </x14:formula1>
          <xm:sqref>J48 Q46 J52</xm:sqref>
        </x14:dataValidation>
        <x14:dataValidation type="list" allowBlank="1" showInputMessage="1" showErrorMessage="1" xr:uid="{904B38C3-79A7-4503-A213-918A46978AFB}">
          <x14:formula1>
            <xm:f>IC!$B$25:$B$31</xm:f>
          </x14:formula1>
          <xm:sqref>X47 J51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0948-38FE-440B-9AF4-F14CAF41F7EC}">
  <sheetPr>
    <tabColor theme="7" tint="0.79998168889431442"/>
  </sheetPr>
  <dimension ref="A1:AK133"/>
  <sheetViews>
    <sheetView zoomScale="85" zoomScaleNormal="85" zoomScaleSheetLayoutView="40" workbookViewId="0">
      <selection activeCell="E68" sqref="E68"/>
    </sheetView>
  </sheetViews>
  <sheetFormatPr defaultColWidth="9" defaultRowHeight="18.75"/>
  <cols>
    <col min="1" max="1" width="2.625" customWidth="1"/>
    <col min="2" max="3" width="3.875" customWidth="1"/>
    <col min="4" max="4" width="18.75" customWidth="1"/>
    <col min="5" max="5" width="18.625" customWidth="1"/>
    <col min="6" max="6" width="7.5" customWidth="1"/>
    <col min="7" max="8" width="3.125" customWidth="1"/>
    <col min="9" max="9" width="18.75" customWidth="1"/>
    <col min="10" max="10" width="25" customWidth="1"/>
    <col min="11" max="11" width="7.5" customWidth="1"/>
    <col min="12" max="12" width="3.75" customWidth="1"/>
    <col min="13" max="13" width="3.875" customWidth="1"/>
    <col min="14" max="14" width="3.625" customWidth="1"/>
    <col min="15" max="15" width="3.75" customWidth="1"/>
    <col min="16" max="16" width="18.625" customWidth="1"/>
    <col min="17" max="17" width="25" customWidth="1"/>
    <col min="18" max="18" width="7.625" customWidth="1"/>
    <col min="19" max="19" width="7.5" customWidth="1"/>
    <col min="20" max="22" width="3.875" customWidth="1"/>
    <col min="23" max="24" width="18.75" customWidth="1"/>
    <col min="25" max="26" width="7.5" customWidth="1"/>
    <col min="27" max="27" width="2.375" customWidth="1"/>
    <col min="28" max="28" width="15.125" hidden="1" customWidth="1"/>
    <col min="29" max="29" width="35" hidden="1" customWidth="1"/>
    <col min="30" max="32" width="13.875" hidden="1" customWidth="1"/>
    <col min="33" max="34" width="13.75" hidden="1" customWidth="1"/>
    <col min="35" max="35" width="8.75" hidden="1" customWidth="1"/>
    <col min="36" max="36" width="6.125" hidden="1" customWidth="1"/>
    <col min="37" max="37" width="9" hidden="1" customWidth="1"/>
  </cols>
  <sheetData>
    <row r="1" spans="1:37" ht="18.75" customHeight="1">
      <c r="A1" s="55"/>
      <c r="B1" s="74" t="s">
        <v>281</v>
      </c>
      <c r="C1" s="55"/>
      <c r="D1" s="55"/>
      <c r="E1" s="55"/>
      <c r="F1" s="55"/>
      <c r="G1" s="55"/>
      <c r="H1" s="55"/>
      <c r="I1" s="55"/>
      <c r="J1" s="55"/>
      <c r="K1" s="55"/>
      <c r="L1" s="55"/>
      <c r="M1" s="55"/>
      <c r="N1" s="55"/>
      <c r="O1" s="55"/>
      <c r="P1" s="55"/>
      <c r="Q1" s="55"/>
      <c r="R1" s="55"/>
      <c r="S1" s="55"/>
      <c r="T1" s="55"/>
      <c r="U1" s="55"/>
      <c r="V1" s="55"/>
      <c r="W1" s="55"/>
      <c r="X1" s="57" t="str">
        <f>"Ver."&amp;VLOOKUP("〇",Version!$A$4:$B$26,2,TRUE)</f>
        <v>Ver.1.8</v>
      </c>
      <c r="Y1" s="55"/>
      <c r="Z1" s="55"/>
      <c r="AA1" s="218"/>
      <c r="AB1" s="66" t="s">
        <v>358</v>
      </c>
      <c r="AC1" s="39"/>
      <c r="AD1" s="39"/>
      <c r="AE1" s="39"/>
      <c r="AF1" s="39"/>
      <c r="AG1" s="39"/>
      <c r="AH1" s="39"/>
      <c r="AI1" s="41"/>
      <c r="AJ1" s="39"/>
      <c r="AK1" s="39"/>
    </row>
    <row r="2" spans="1:37" s="59" customFormat="1" ht="18.75" customHeight="1">
      <c r="A2" s="176"/>
      <c r="B2" s="72" t="s">
        <v>156</v>
      </c>
      <c r="C2" s="72"/>
      <c r="D2" s="75"/>
      <c r="E2" s="75"/>
      <c r="F2" s="75"/>
      <c r="G2" s="72" t="s">
        <v>66</v>
      </c>
      <c r="H2" s="75"/>
      <c r="I2" s="75"/>
      <c r="J2" s="75"/>
      <c r="K2" s="75"/>
      <c r="L2" s="75"/>
      <c r="M2" s="75"/>
      <c r="N2" s="75"/>
      <c r="O2" s="72" t="s">
        <v>170</v>
      </c>
      <c r="P2" s="75"/>
      <c r="Q2" s="75"/>
      <c r="R2" s="75"/>
      <c r="S2" s="75"/>
      <c r="T2" s="75"/>
      <c r="U2" s="75"/>
      <c r="V2" s="75"/>
      <c r="W2" s="75"/>
      <c r="X2" s="75"/>
      <c r="Y2" s="75"/>
      <c r="Z2" s="75"/>
      <c r="AA2" s="219"/>
      <c r="AB2" s="67"/>
      <c r="AC2" s="64"/>
      <c r="AD2" s="64"/>
      <c r="AE2" s="64"/>
      <c r="AF2" s="64"/>
      <c r="AG2" s="64"/>
      <c r="AH2" s="64"/>
      <c r="AI2" s="65"/>
      <c r="AJ2" s="64"/>
      <c r="AK2" s="64"/>
    </row>
    <row r="3" spans="1:37" s="59" customFormat="1" ht="18.75" customHeight="1">
      <c r="A3" s="176"/>
      <c r="B3" s="76" t="s">
        <v>430</v>
      </c>
      <c r="C3" s="77"/>
      <c r="D3" s="77"/>
      <c r="E3" s="77"/>
      <c r="F3" s="75"/>
      <c r="G3" s="76" t="s">
        <v>345</v>
      </c>
      <c r="H3" s="77"/>
      <c r="I3" s="77"/>
      <c r="J3" s="77"/>
      <c r="K3" s="75"/>
      <c r="L3" s="75"/>
      <c r="M3" s="75"/>
      <c r="N3" s="75"/>
      <c r="O3" s="76" t="s">
        <v>376</v>
      </c>
      <c r="P3" s="77"/>
      <c r="Q3" s="77"/>
      <c r="R3" s="75"/>
      <c r="S3" s="75"/>
      <c r="T3" s="75"/>
      <c r="U3" s="72"/>
      <c r="V3" s="75"/>
      <c r="W3" s="75"/>
      <c r="X3" s="75"/>
      <c r="Y3" s="75"/>
      <c r="Z3" s="75"/>
      <c r="AA3" s="219"/>
      <c r="AB3" s="67"/>
      <c r="AC3" s="64"/>
      <c r="AD3" s="64"/>
      <c r="AE3" s="64"/>
      <c r="AF3" s="64"/>
      <c r="AG3" s="64"/>
      <c r="AH3" s="64"/>
      <c r="AI3" s="65"/>
      <c r="AJ3" s="64"/>
      <c r="AK3" s="64"/>
    </row>
    <row r="4" spans="1:37" ht="18.75" customHeight="1">
      <c r="A4" s="55"/>
      <c r="B4" s="55"/>
      <c r="C4" s="55"/>
      <c r="D4" s="55"/>
      <c r="E4" s="55"/>
      <c r="F4" s="55"/>
      <c r="G4" s="55"/>
      <c r="H4" s="55"/>
      <c r="I4" s="199" t="s">
        <v>74</v>
      </c>
      <c r="J4" s="200" t="s">
        <v>631</v>
      </c>
      <c r="K4" s="78"/>
      <c r="L4" s="78"/>
      <c r="M4" s="78"/>
      <c r="N4" s="78"/>
      <c r="O4" s="55"/>
      <c r="P4" s="84"/>
      <c r="Q4" s="55"/>
      <c r="R4" s="55"/>
      <c r="S4" s="55"/>
      <c r="T4" s="55"/>
      <c r="U4" s="55"/>
      <c r="V4" s="55"/>
      <c r="W4" s="55"/>
      <c r="X4" s="55"/>
      <c r="Y4" s="55"/>
      <c r="Z4" s="55"/>
      <c r="AA4" s="220"/>
      <c r="AB4" s="66"/>
      <c r="AC4" s="39"/>
      <c r="AD4" s="39"/>
      <c r="AE4" s="39"/>
      <c r="AF4" s="39"/>
      <c r="AG4" s="39"/>
      <c r="AH4" s="39"/>
      <c r="AI4" s="41"/>
      <c r="AJ4" s="39"/>
      <c r="AK4" s="39"/>
    </row>
    <row r="5" spans="1:37" ht="18.75" customHeight="1">
      <c r="A5" s="55"/>
      <c r="B5" s="55"/>
      <c r="C5" s="58" t="s">
        <v>425</v>
      </c>
      <c r="D5" s="55"/>
      <c r="E5" s="55"/>
      <c r="F5" s="55"/>
      <c r="G5" s="55"/>
      <c r="H5" s="57"/>
      <c r="I5" s="199"/>
      <c r="J5" s="201"/>
      <c r="K5" s="55"/>
      <c r="L5" s="55"/>
      <c r="M5" s="55"/>
      <c r="N5" s="55"/>
      <c r="O5" s="55"/>
      <c r="P5" s="84" t="s">
        <v>382</v>
      </c>
      <c r="Q5" s="87" t="str">
        <f>IF($J$4=Choices!$B$26,$AD$61,IF($J$4=Choices!$B$27,$AE$61,IF($J$4=Choices!$B$28,$AF$61,IF($J$4=Choices!$B$29,$AG$61,""))))</f>
        <v>他水道へ接続</v>
      </c>
      <c r="R5" s="55"/>
      <c r="S5" s="55"/>
      <c r="T5" s="55"/>
      <c r="U5" s="55"/>
      <c r="V5" s="55"/>
      <c r="W5" s="72" t="s">
        <v>375</v>
      </c>
      <c r="X5" s="56"/>
      <c r="Y5" s="55"/>
      <c r="Z5" s="55"/>
      <c r="AA5" s="220"/>
      <c r="AB5" s="66"/>
      <c r="AC5" s="39"/>
      <c r="AD5" s="41"/>
      <c r="AE5" s="41"/>
      <c r="AF5" s="41"/>
      <c r="AG5" s="39"/>
      <c r="AH5" s="39"/>
      <c r="AI5" s="41"/>
      <c r="AJ5" s="39"/>
      <c r="AK5" s="39"/>
    </row>
    <row r="6" spans="1:37" ht="18.75" customHeight="1">
      <c r="A6" s="55"/>
      <c r="B6" s="55"/>
      <c r="C6" s="155" t="b">
        <v>0</v>
      </c>
      <c r="D6" s="118"/>
      <c r="E6" s="118"/>
      <c r="F6" s="55"/>
      <c r="G6" s="55"/>
      <c r="H6" s="57"/>
      <c r="I6" s="55"/>
      <c r="J6" s="55"/>
      <c r="K6" s="55"/>
      <c r="L6" s="55"/>
      <c r="M6" s="55"/>
      <c r="N6" s="55"/>
      <c r="O6" s="55"/>
      <c r="P6" s="84" t="s">
        <v>175</v>
      </c>
      <c r="Q6" s="87" t="str">
        <f>IF(OR($AD$62=1,$AE$62=1,$AF$62=1),$AC$62,IF(OR($AD$63=1,$AE$63=1,$AF$63=1),$AC$63,IF(OR($AD$64=1,$AE$64=1,$AF$64=1),$AC$64,IF(OR($AD$65=1,$AE$65=1,$AF$65=1),$AC$65,IF(OR($AD$66=1,$AE$66=1,AF66=1),$AC$66,IF($AG$67=1,$AC$67,""))))))</f>
        <v>簡易水道</v>
      </c>
      <c r="R6" s="55"/>
      <c r="S6" s="55"/>
      <c r="T6" s="55"/>
      <c r="U6" s="55"/>
      <c r="V6" s="55"/>
      <c r="W6" s="84" t="s">
        <v>115</v>
      </c>
      <c r="X6" s="92">
        <f>IF($J$4=Choices!$B$26,($J$64+$J$68)/1000,IF(OR($J$4=Choices!$B$27,$J$4=Choices!$B$28),0,IF($J$4=Choices!$B$29,($X$60+$X$63+$X$67+$X$70)/1000,"")))</f>
        <v>0</v>
      </c>
      <c r="Y6" s="55"/>
      <c r="Z6" s="55"/>
      <c r="AA6" s="220"/>
      <c r="AB6" s="66"/>
      <c r="AC6" s="39"/>
      <c r="AD6" s="39"/>
      <c r="AE6" s="39"/>
      <c r="AF6" s="39"/>
      <c r="AG6" s="39"/>
      <c r="AH6" s="39"/>
      <c r="AI6" s="41"/>
      <c r="AJ6" s="39"/>
      <c r="AK6" s="39"/>
    </row>
    <row r="7" spans="1:37" ht="18.75" customHeight="1">
      <c r="A7" s="55"/>
      <c r="B7" s="55"/>
      <c r="C7" s="155" t="b">
        <v>1</v>
      </c>
      <c r="D7" s="118" t="s">
        <v>424</v>
      </c>
      <c r="E7" s="118"/>
      <c r="F7" s="55"/>
      <c r="G7" s="55"/>
      <c r="H7" s="57"/>
      <c r="I7" s="55"/>
      <c r="J7" s="55"/>
      <c r="K7" s="55"/>
      <c r="L7" s="55"/>
      <c r="M7" s="55"/>
      <c r="N7" s="55"/>
      <c r="O7" s="55"/>
      <c r="P7" s="84" t="s">
        <v>418</v>
      </c>
      <c r="Q7" s="88">
        <f>IF($Q$6&lt;&gt;"",IF($Q$5=$AD$61,$J$73,IF($Q$5=$AE$61,$Q$73,IF($Q$5=$AF$61,0,IF($Q$5=$AG$61,$X$73,0)))),NA())</f>
        <v>66600</v>
      </c>
      <c r="R7" s="72" t="s">
        <v>416</v>
      </c>
      <c r="S7" s="55"/>
      <c r="T7" s="55"/>
      <c r="U7" s="55"/>
      <c r="V7" s="55"/>
      <c r="W7" s="84" t="s">
        <v>107</v>
      </c>
      <c r="X7" s="92">
        <f>IF($J$4=Choices!$B$26,($J$65+$J$69)/1000,IF(OR($J$4=Choices!$B$27,$J$4=Choices!$B$28),0,IF($J$4=Choices!$B$29,$X$64/1000,"")))</f>
        <v>0</v>
      </c>
      <c r="Y7" s="55"/>
      <c r="Z7" s="55"/>
      <c r="AA7" s="220"/>
      <c r="AB7" s="66"/>
      <c r="AC7" s="39"/>
      <c r="AD7" s="39"/>
      <c r="AE7" s="39"/>
      <c r="AF7" s="39"/>
      <c r="AG7" s="39"/>
      <c r="AH7" s="39"/>
      <c r="AI7" s="41"/>
      <c r="AJ7" s="39"/>
      <c r="AK7" s="39"/>
    </row>
    <row r="8" spans="1:37" ht="18.75" customHeight="1">
      <c r="A8" s="55"/>
      <c r="B8" s="55"/>
      <c r="C8" s="55"/>
      <c r="D8" s="55"/>
      <c r="E8" s="55"/>
      <c r="F8" s="55"/>
      <c r="G8" s="55"/>
      <c r="H8" s="57"/>
      <c r="I8" s="55"/>
      <c r="J8" s="55"/>
      <c r="K8" s="55"/>
      <c r="L8" s="55"/>
      <c r="M8" s="55"/>
      <c r="N8" s="55"/>
      <c r="O8" s="55"/>
      <c r="P8" s="84" t="s">
        <v>412</v>
      </c>
      <c r="Q8" s="89">
        <f>IF($F$67=2,NA(),INDEX($AD$70:$AG$74,MATCH($Q$6,$AC$70:$AC$74,0),MATCH($Q$5,$AD$69:$AG$69,0)))</f>
        <v>36382.654631738886</v>
      </c>
      <c r="R8" s="72" t="s">
        <v>417</v>
      </c>
      <c r="S8" s="55"/>
      <c r="T8" s="55"/>
      <c r="U8" s="55"/>
      <c r="V8" s="55"/>
      <c r="W8" s="84" t="s">
        <v>374</v>
      </c>
      <c r="X8" s="92">
        <f>IF($J$4=Choices!$B$26,($J$66+$J$67+$J$70+$J$71)/1000,IF(OR($J$4=Choices!$B$27,$J$4=Choices!$B$28),($Q$64+$Q$65)/1000,IF($J$4=Choices!$B$29,0,"")))</f>
        <v>10600</v>
      </c>
      <c r="Y8" s="55"/>
      <c r="Z8" s="55"/>
      <c r="AA8" s="220"/>
      <c r="AB8" s="66"/>
      <c r="AC8" s="39"/>
      <c r="AD8" s="39"/>
      <c r="AE8" s="39"/>
      <c r="AF8" s="39"/>
      <c r="AG8" s="39"/>
      <c r="AH8" s="39"/>
      <c r="AI8" s="41"/>
      <c r="AJ8" s="39"/>
      <c r="AK8" s="39"/>
    </row>
    <row r="9" spans="1:37" ht="18.75" customHeight="1">
      <c r="A9" s="55"/>
      <c r="B9" s="75"/>
      <c r="C9" s="55"/>
      <c r="D9" s="55"/>
      <c r="E9" s="55"/>
      <c r="F9" s="55"/>
      <c r="G9" s="55"/>
      <c r="H9" s="55"/>
      <c r="I9" s="55"/>
      <c r="J9" s="55"/>
      <c r="K9" s="55"/>
      <c r="L9" s="55"/>
      <c r="M9" s="55"/>
      <c r="N9" s="55"/>
      <c r="O9" s="55"/>
      <c r="P9" s="84" t="s">
        <v>411</v>
      </c>
      <c r="Q9" s="89">
        <f>IF(OR($AE$62=1,$AE$63=1,$AE$64=1,$AE$65=1,$AF$62=1,$AF$63=1,$AF$64=1,$AF$65=1),$Q$8*$E$25/($E$25+$Q$25),$Q$8)</f>
        <v>4042.5171813043207</v>
      </c>
      <c r="R9" s="72" t="s">
        <v>417</v>
      </c>
      <c r="S9" s="55"/>
      <c r="T9" s="55"/>
      <c r="U9" s="55"/>
      <c r="V9" s="55"/>
      <c r="W9" s="84" t="s">
        <v>83</v>
      </c>
      <c r="X9" s="92">
        <f>IF($J$4=Choices!$B$26,SUM($J$60:$J$63)/1000,IF(OR($J$4=Choices!$B$27,$J$4=Choices!$B$28),SUM($Q$61:$Q$63)/1000,IF($J$4=Choices!$B$29,($X$61+$X$65+$X$68+$X$71)/1000,"")))</f>
        <v>56000</v>
      </c>
      <c r="Y9" s="55"/>
      <c r="Z9" s="55"/>
      <c r="AA9" s="220"/>
      <c r="AB9" s="66"/>
      <c r="AC9" s="39"/>
      <c r="AD9" s="39"/>
      <c r="AE9" s="39"/>
      <c r="AF9" s="39"/>
      <c r="AG9" s="39"/>
      <c r="AH9" s="39"/>
      <c r="AI9" s="39"/>
      <c r="AJ9" s="39"/>
      <c r="AK9" s="39"/>
    </row>
    <row r="10" spans="1:37" ht="18.75" customHeight="1">
      <c r="A10" s="55"/>
      <c r="B10" s="55"/>
      <c r="C10" s="72" t="s">
        <v>429</v>
      </c>
      <c r="D10" s="55"/>
      <c r="E10" s="55"/>
      <c r="F10" s="55"/>
      <c r="G10" s="55"/>
      <c r="H10" s="55"/>
      <c r="I10" s="55"/>
      <c r="J10" s="55"/>
      <c r="K10" s="55"/>
      <c r="L10" s="55"/>
      <c r="M10" s="55"/>
      <c r="N10" s="55"/>
      <c r="O10" s="55"/>
      <c r="P10" s="60"/>
      <c r="Q10" s="60"/>
      <c r="R10" s="55"/>
      <c r="S10" s="55"/>
      <c r="T10" s="55"/>
      <c r="U10" s="55"/>
      <c r="V10" s="55"/>
      <c r="W10" s="72"/>
      <c r="X10" s="83"/>
      <c r="Y10" s="55"/>
      <c r="Z10" s="55"/>
      <c r="AA10" s="220"/>
      <c r="AB10" s="66"/>
      <c r="AC10" s="39"/>
      <c r="AD10" s="39"/>
      <c r="AE10" s="39"/>
      <c r="AF10" s="39"/>
      <c r="AG10" s="39"/>
      <c r="AH10" s="39"/>
      <c r="AI10" s="39"/>
      <c r="AJ10" s="39"/>
      <c r="AK10" s="39"/>
    </row>
    <row r="11" spans="1:37" ht="18.75" customHeight="1">
      <c r="A11" s="55"/>
      <c r="B11" s="55"/>
      <c r="C11" s="74" t="s">
        <v>428</v>
      </c>
      <c r="D11" s="55"/>
      <c r="E11" s="55"/>
      <c r="F11" s="55"/>
      <c r="G11" s="55"/>
      <c r="H11" s="55"/>
      <c r="I11" s="55"/>
      <c r="J11" s="55"/>
      <c r="K11" s="55"/>
      <c r="L11" s="55"/>
      <c r="M11" s="55"/>
      <c r="N11" s="55"/>
      <c r="O11" s="55"/>
      <c r="P11" s="84" t="s">
        <v>252</v>
      </c>
      <c r="Q11" s="202" t="str">
        <f>_xlfn.TEXTJOIN(CHAR(10),TRUE,AD21:AD40)</f>
        <v>・年間コスト（当該地域）は，事業全体の年間コストのうち，当該地域分の年間コストを表しています．接続あるいは経営統合した水道事業全体の給水人口に対する当該地域の給水人口比から算出しています．
・接続あるいは経営統合先の事業認可が変更になる可能性があるため，確認が必要です．</v>
      </c>
      <c r="R11" s="203"/>
      <c r="S11" s="203"/>
      <c r="T11" s="203"/>
      <c r="U11" s="203"/>
      <c r="V11" s="203"/>
      <c r="W11" s="203"/>
      <c r="X11" s="203"/>
      <c r="Y11" s="204"/>
      <c r="Z11" s="55"/>
      <c r="AA11" s="220"/>
      <c r="AB11" s="66"/>
      <c r="AC11" s="42" t="s">
        <v>593</v>
      </c>
      <c r="AD11" s="39"/>
      <c r="AE11" s="39"/>
      <c r="AF11" s="39"/>
      <c r="AG11" s="39"/>
      <c r="AH11" s="39"/>
      <c r="AI11" s="39"/>
      <c r="AJ11" s="39"/>
      <c r="AK11" s="39"/>
    </row>
    <row r="12" spans="1:37" ht="18.75" customHeight="1">
      <c r="A12" s="55"/>
      <c r="B12" s="55"/>
      <c r="C12" s="55"/>
      <c r="D12" s="122" t="s">
        <v>426</v>
      </c>
      <c r="E12" s="79"/>
      <c r="F12" s="55"/>
      <c r="G12" s="55"/>
      <c r="H12" s="55"/>
      <c r="I12" s="55"/>
      <c r="J12" s="55"/>
      <c r="K12" s="55"/>
      <c r="L12" s="55"/>
      <c r="M12" s="55"/>
      <c r="N12" s="55"/>
      <c r="O12" s="55"/>
      <c r="P12" s="55"/>
      <c r="Q12" s="205"/>
      <c r="R12" s="206"/>
      <c r="S12" s="206"/>
      <c r="T12" s="206"/>
      <c r="U12" s="206"/>
      <c r="V12" s="206"/>
      <c r="W12" s="206"/>
      <c r="X12" s="206"/>
      <c r="Y12" s="207"/>
      <c r="Z12" s="55"/>
      <c r="AA12" s="220"/>
      <c r="AB12" s="66"/>
      <c r="AC12" s="44" t="s">
        <v>594</v>
      </c>
      <c r="AD12" s="171" t="str">
        <f>$E$104</f>
        <v>・現状の年間コストは推計値です．実績値がある場合はそちらを参考にしてください．</v>
      </c>
      <c r="AE12" s="39"/>
      <c r="AF12" s="39"/>
      <c r="AG12" s="39"/>
      <c r="AH12" s="39"/>
      <c r="AI12" s="39"/>
      <c r="AJ12" s="39"/>
      <c r="AK12" s="39"/>
    </row>
    <row r="13" spans="1:37" s="59" customFormat="1" ht="18.75" customHeight="1">
      <c r="A13" s="176"/>
      <c r="B13" s="55"/>
      <c r="C13" s="55"/>
      <c r="D13" s="211" t="s">
        <v>427</v>
      </c>
      <c r="E13" s="80" t="s">
        <v>249</v>
      </c>
      <c r="F13" s="55"/>
      <c r="G13" s="55"/>
      <c r="H13" s="55"/>
      <c r="I13" s="55"/>
      <c r="J13" s="55"/>
      <c r="K13" s="55"/>
      <c r="L13" s="55"/>
      <c r="M13" s="55"/>
      <c r="N13" s="55"/>
      <c r="O13" s="55"/>
      <c r="P13" s="55"/>
      <c r="Q13" s="205"/>
      <c r="R13" s="206"/>
      <c r="S13" s="206"/>
      <c r="T13" s="206"/>
      <c r="U13" s="206"/>
      <c r="V13" s="206"/>
      <c r="W13" s="206"/>
      <c r="X13" s="206"/>
      <c r="Y13" s="207"/>
      <c r="Z13" s="55"/>
      <c r="AA13" s="220"/>
      <c r="AB13" s="66"/>
      <c r="AC13" s="44" t="s">
        <v>591</v>
      </c>
      <c r="AD13" s="171" t="str">
        <f>IF($F$76=1,$E$105,"")</f>
        <v/>
      </c>
      <c r="AE13" s="39"/>
      <c r="AF13" s="64"/>
      <c r="AG13" s="64"/>
      <c r="AH13" s="64"/>
      <c r="AI13" s="65"/>
      <c r="AJ13" s="64"/>
      <c r="AK13" s="64"/>
    </row>
    <row r="14" spans="1:37" s="59" customFormat="1" ht="18.75" customHeight="1">
      <c r="A14" s="176"/>
      <c r="B14" s="55"/>
      <c r="C14" s="55"/>
      <c r="D14" s="212"/>
      <c r="E14" s="81" t="s">
        <v>250</v>
      </c>
      <c r="F14" s="55"/>
      <c r="G14" s="55"/>
      <c r="H14" s="55"/>
      <c r="I14" s="55"/>
      <c r="J14" s="55"/>
      <c r="K14" s="55"/>
      <c r="L14" s="55"/>
      <c r="M14" s="55"/>
      <c r="N14" s="55"/>
      <c r="O14" s="55"/>
      <c r="P14" s="55"/>
      <c r="Q14" s="205"/>
      <c r="R14" s="206"/>
      <c r="S14" s="206"/>
      <c r="T14" s="206"/>
      <c r="U14" s="206"/>
      <c r="V14" s="206"/>
      <c r="W14" s="206"/>
      <c r="X14" s="206"/>
      <c r="Y14" s="207"/>
      <c r="Z14" s="55"/>
      <c r="AA14" s="220"/>
      <c r="AB14" s="66"/>
      <c r="AC14" s="39"/>
      <c r="AD14" s="39"/>
      <c r="AE14" s="39"/>
      <c r="AF14" s="64"/>
      <c r="AG14" s="64"/>
      <c r="AH14" s="64"/>
      <c r="AI14" s="65"/>
      <c r="AJ14" s="64"/>
      <c r="AK14" s="64"/>
    </row>
    <row r="15" spans="1:37" ht="18.75" customHeight="1">
      <c r="A15" s="55"/>
      <c r="B15" s="55"/>
      <c r="C15" s="55"/>
      <c r="D15" s="213"/>
      <c r="E15" s="82" t="s">
        <v>248</v>
      </c>
      <c r="F15" s="55"/>
      <c r="G15" s="55"/>
      <c r="H15" s="55"/>
      <c r="I15" s="55"/>
      <c r="J15" s="55"/>
      <c r="K15" s="55"/>
      <c r="L15" s="55"/>
      <c r="M15" s="55"/>
      <c r="N15" s="55"/>
      <c r="O15" s="55"/>
      <c r="P15" s="55"/>
      <c r="Q15" s="205"/>
      <c r="R15" s="206"/>
      <c r="S15" s="206"/>
      <c r="T15" s="206"/>
      <c r="U15" s="206"/>
      <c r="V15" s="206"/>
      <c r="W15" s="206"/>
      <c r="X15" s="206"/>
      <c r="Y15" s="207"/>
      <c r="Z15" s="55"/>
      <c r="AA15" s="220"/>
      <c r="AB15" s="66"/>
      <c r="AC15" s="39"/>
      <c r="AD15" s="39"/>
      <c r="AE15" s="39"/>
      <c r="AF15" s="39"/>
      <c r="AG15" s="39"/>
      <c r="AH15" s="39"/>
      <c r="AI15" s="41"/>
      <c r="AJ15" s="39"/>
      <c r="AK15" s="68"/>
    </row>
    <row r="16" spans="1:37" ht="18.75" customHeight="1">
      <c r="A16" s="55"/>
      <c r="B16" s="55"/>
      <c r="C16" s="55"/>
      <c r="D16" s="86"/>
      <c r="E16" s="72"/>
      <c r="F16" s="55"/>
      <c r="G16" s="55"/>
      <c r="H16" s="55"/>
      <c r="I16" s="55"/>
      <c r="J16" s="55"/>
      <c r="K16" s="55"/>
      <c r="L16" s="55"/>
      <c r="M16" s="55"/>
      <c r="N16" s="55"/>
      <c r="O16" s="55"/>
      <c r="P16" s="55"/>
      <c r="Q16" s="205"/>
      <c r="R16" s="206"/>
      <c r="S16" s="206"/>
      <c r="T16" s="206"/>
      <c r="U16" s="206"/>
      <c r="V16" s="206"/>
      <c r="W16" s="206"/>
      <c r="X16" s="206"/>
      <c r="Y16" s="207"/>
      <c r="Z16" s="55"/>
      <c r="AA16" s="220"/>
      <c r="AB16" s="66"/>
      <c r="AC16" s="39"/>
      <c r="AD16" s="39"/>
      <c r="AE16" s="39"/>
      <c r="AF16" s="39"/>
      <c r="AG16" s="39"/>
      <c r="AH16" s="39"/>
      <c r="AI16" s="41"/>
      <c r="AJ16" s="39"/>
      <c r="AK16" s="68"/>
    </row>
    <row r="17" spans="1:37" ht="18.75" customHeight="1">
      <c r="A17" s="55"/>
      <c r="B17" s="55"/>
      <c r="C17" s="55"/>
      <c r="D17" s="86"/>
      <c r="E17" s="72"/>
      <c r="F17" s="55"/>
      <c r="G17" s="55"/>
      <c r="H17" s="55"/>
      <c r="I17" s="55"/>
      <c r="J17" s="55"/>
      <c r="K17" s="55"/>
      <c r="L17" s="55"/>
      <c r="M17" s="55"/>
      <c r="N17" s="55"/>
      <c r="O17" s="55"/>
      <c r="P17" s="55"/>
      <c r="Q17" s="208"/>
      <c r="R17" s="209"/>
      <c r="S17" s="209"/>
      <c r="T17" s="209"/>
      <c r="U17" s="209"/>
      <c r="V17" s="209"/>
      <c r="W17" s="209"/>
      <c r="X17" s="209"/>
      <c r="Y17" s="210"/>
      <c r="Z17" s="55"/>
      <c r="AA17" s="220"/>
      <c r="AB17" s="66"/>
      <c r="AC17" s="39"/>
      <c r="AD17" s="39"/>
      <c r="AE17" s="39"/>
      <c r="AF17" s="39"/>
      <c r="AG17" s="39"/>
      <c r="AH17" s="39"/>
      <c r="AI17" s="39"/>
      <c r="AJ17" s="39"/>
      <c r="AK17" s="68"/>
    </row>
    <row r="18" spans="1:37" ht="18.75" customHeight="1">
      <c r="A18" s="55"/>
      <c r="B18" s="55"/>
      <c r="C18" s="55"/>
      <c r="D18" s="55"/>
      <c r="E18" s="55"/>
      <c r="F18" s="55"/>
      <c r="G18" s="55"/>
      <c r="H18" s="55"/>
      <c r="I18" s="55"/>
      <c r="J18" s="55"/>
      <c r="K18" s="55"/>
      <c r="L18" s="55"/>
      <c r="M18" s="55"/>
      <c r="N18" s="55"/>
      <c r="O18" s="55"/>
      <c r="P18" s="55"/>
      <c r="Q18" s="55"/>
      <c r="R18" s="55"/>
      <c r="S18" s="55"/>
      <c r="T18" s="55"/>
      <c r="U18" s="55"/>
      <c r="V18" s="55"/>
      <c r="W18" s="72"/>
      <c r="X18" s="83"/>
      <c r="Y18" s="55"/>
      <c r="Z18" s="55"/>
      <c r="AA18" s="220"/>
      <c r="AB18" s="66"/>
      <c r="AC18" s="39"/>
      <c r="AD18" s="39"/>
      <c r="AE18" s="39"/>
      <c r="AF18" s="39"/>
      <c r="AG18" s="39"/>
      <c r="AH18" s="39"/>
      <c r="AI18" s="41"/>
      <c r="AJ18" s="39"/>
      <c r="AK18" s="68"/>
    </row>
    <row r="19" spans="1:37" ht="18.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219"/>
      <c r="AB19" s="67"/>
      <c r="AC19" s="64"/>
      <c r="AD19" s="64"/>
      <c r="AE19" s="64"/>
      <c r="AF19" s="39"/>
      <c r="AG19" s="39"/>
      <c r="AH19" s="39"/>
      <c r="AI19" s="41"/>
      <c r="AJ19" s="39"/>
      <c r="AK19" s="68"/>
    </row>
    <row r="20" spans="1:37" ht="18.75" customHeight="1">
      <c r="A20" s="55"/>
      <c r="B20" s="75"/>
      <c r="C20" s="75"/>
      <c r="D20" s="75"/>
      <c r="E20" s="75"/>
      <c r="F20" s="75"/>
      <c r="G20" s="75"/>
      <c r="H20" s="72" t="s">
        <v>157</v>
      </c>
      <c r="I20" s="75"/>
      <c r="J20" s="75"/>
      <c r="K20" s="75"/>
      <c r="L20" s="75"/>
      <c r="M20" s="75"/>
      <c r="N20" s="75"/>
      <c r="O20" s="72" t="s">
        <v>583</v>
      </c>
      <c r="P20" s="75"/>
      <c r="Q20" s="75"/>
      <c r="R20" s="75"/>
      <c r="S20" s="75"/>
      <c r="T20" s="75"/>
      <c r="U20" s="75"/>
      <c r="V20" s="72" t="s">
        <v>312</v>
      </c>
      <c r="W20" s="75"/>
      <c r="X20" s="75"/>
      <c r="Y20" s="75"/>
      <c r="Z20" s="75"/>
      <c r="AA20" s="219"/>
      <c r="AB20" s="67"/>
      <c r="AC20" s="169" t="s">
        <v>592</v>
      </c>
      <c r="AD20" s="170"/>
      <c r="AE20" s="70"/>
      <c r="AF20" s="39"/>
      <c r="AG20" s="39"/>
      <c r="AH20" s="39"/>
      <c r="AI20" s="41"/>
      <c r="AJ20" s="39"/>
      <c r="AK20" s="68"/>
    </row>
    <row r="21" spans="1:37" ht="18.75" customHeight="1">
      <c r="A21" s="55"/>
      <c r="B21" s="76" t="s">
        <v>344</v>
      </c>
      <c r="C21" s="77"/>
      <c r="D21" s="77"/>
      <c r="E21" s="77"/>
      <c r="F21" s="75"/>
      <c r="G21" s="76" t="s">
        <v>346</v>
      </c>
      <c r="H21" s="77"/>
      <c r="I21" s="77"/>
      <c r="J21" s="77"/>
      <c r="K21" s="75"/>
      <c r="L21" s="75"/>
      <c r="M21" s="75"/>
      <c r="N21" s="178" t="s">
        <v>646</v>
      </c>
      <c r="O21" s="77"/>
      <c r="P21" s="77"/>
      <c r="Q21" s="77"/>
      <c r="R21" s="75"/>
      <c r="S21" s="75"/>
      <c r="T21" s="75"/>
      <c r="U21" s="76" t="s">
        <v>347</v>
      </c>
      <c r="V21" s="77"/>
      <c r="W21" s="77"/>
      <c r="X21" s="77"/>
      <c r="Y21" s="75"/>
      <c r="Z21" s="75"/>
      <c r="AA21" s="220"/>
      <c r="AB21" s="69"/>
      <c r="AC21" s="167" t="s">
        <v>268</v>
      </c>
      <c r="AD21" s="168" t="str">
        <f>IF($F$65=1,$E$79,"")</f>
        <v/>
      </c>
      <c r="AE21" s="39"/>
      <c r="AF21" s="39"/>
      <c r="AG21" s="39"/>
      <c r="AH21" s="39"/>
      <c r="AI21" s="41"/>
      <c r="AJ21" s="39"/>
      <c r="AK21" s="68"/>
    </row>
    <row r="22" spans="1:37" ht="18.75" customHeight="1">
      <c r="A22" s="55"/>
      <c r="B22" s="55"/>
      <c r="C22" s="72" t="s">
        <v>158</v>
      </c>
      <c r="D22" s="74"/>
      <c r="E22" s="55"/>
      <c r="F22" s="55"/>
      <c r="G22" s="55"/>
      <c r="H22" s="72" t="s">
        <v>575</v>
      </c>
      <c r="I22" s="72"/>
      <c r="J22" s="55"/>
      <c r="K22" s="55"/>
      <c r="L22" s="55"/>
      <c r="M22" s="55"/>
      <c r="N22" s="55"/>
      <c r="O22" s="72" t="s">
        <v>647</v>
      </c>
      <c r="P22" s="72"/>
      <c r="Q22" s="72"/>
      <c r="R22" s="55"/>
      <c r="S22" s="55"/>
      <c r="T22" s="55"/>
      <c r="U22" s="55"/>
      <c r="V22" s="72" t="s">
        <v>313</v>
      </c>
      <c r="W22" s="72"/>
      <c r="X22" s="55"/>
      <c r="Y22" s="55"/>
      <c r="Z22" s="55"/>
      <c r="AA22" s="220"/>
      <c r="AB22" s="69"/>
      <c r="AC22" s="44" t="s">
        <v>267</v>
      </c>
      <c r="AD22" s="115" t="str">
        <f>IF($F$65=1,$E$80,"")</f>
        <v/>
      </c>
      <c r="AE22" s="39"/>
      <c r="AF22" s="39"/>
      <c r="AG22" s="39"/>
      <c r="AH22" s="39"/>
      <c r="AI22" s="41"/>
      <c r="AJ22" s="39"/>
      <c r="AK22" s="68"/>
    </row>
    <row r="23" spans="1:37" ht="18.75" customHeight="1">
      <c r="A23" s="55"/>
      <c r="B23" s="55"/>
      <c r="C23" s="72"/>
      <c r="D23" s="72" t="s">
        <v>160</v>
      </c>
      <c r="E23" s="93" t="str">
        <f>IF(シナリオ1!E23="","",シナリオ1!E23)</f>
        <v>その他</v>
      </c>
      <c r="F23" s="55"/>
      <c r="G23" s="55"/>
      <c r="H23" s="72"/>
      <c r="I23" s="72" t="s">
        <v>67</v>
      </c>
      <c r="J23" s="94"/>
      <c r="K23" s="55"/>
      <c r="L23" s="55"/>
      <c r="M23" s="55"/>
      <c r="N23" s="55"/>
      <c r="O23" s="72"/>
      <c r="P23" s="72" t="s">
        <v>67</v>
      </c>
      <c r="Q23" s="94" t="s">
        <v>13</v>
      </c>
      <c r="R23" s="55"/>
      <c r="S23" s="55"/>
      <c r="T23" s="55"/>
      <c r="U23" s="55"/>
      <c r="V23" s="72"/>
      <c r="W23" s="72" t="s">
        <v>67</v>
      </c>
      <c r="X23" s="93" t="str">
        <f>IF($J$4=Choices!$B$29,"飲用井戸","")</f>
        <v/>
      </c>
      <c r="Y23" s="55"/>
      <c r="Z23" s="55"/>
      <c r="AA23" s="220"/>
      <c r="AB23" s="69"/>
      <c r="AC23" s="44" t="s">
        <v>604</v>
      </c>
      <c r="AD23" s="115" t="str">
        <f>_xlfn.IFS(AND($F$62=3,$F$63=2),$E$81,AND($F$62=3,$F$63=1,$F$64=1,$F$67=1),$E$81,$F$61=3,$E$81,TRUE,"")</f>
        <v/>
      </c>
      <c r="AE23" s="39"/>
      <c r="AF23" s="39"/>
      <c r="AG23" s="39"/>
      <c r="AH23" s="39"/>
      <c r="AI23" s="39"/>
      <c r="AJ23" s="39"/>
      <c r="AK23" s="68"/>
    </row>
    <row r="24" spans="1:37" ht="18.75" customHeight="1">
      <c r="A24" s="55"/>
      <c r="B24" s="55"/>
      <c r="C24" s="72"/>
      <c r="D24" s="72" t="s">
        <v>161</v>
      </c>
      <c r="E24" s="93">
        <f>IF(シナリオ1!E24="","",シナリオ1!E24)</f>
        <v>200</v>
      </c>
      <c r="F24" s="72" t="s">
        <v>299</v>
      </c>
      <c r="G24" s="55"/>
      <c r="H24" s="72"/>
      <c r="I24" s="72" t="s">
        <v>68</v>
      </c>
      <c r="J24" s="94"/>
      <c r="K24" s="72" t="s">
        <v>299</v>
      </c>
      <c r="L24" s="55"/>
      <c r="M24" s="55"/>
      <c r="N24" s="55"/>
      <c r="O24" s="72"/>
      <c r="P24" s="72" t="s">
        <v>68</v>
      </c>
      <c r="Q24" s="94">
        <v>500</v>
      </c>
      <c r="R24" s="72" t="s">
        <v>299</v>
      </c>
      <c r="S24" s="72"/>
      <c r="T24" s="72"/>
      <c r="U24" s="55"/>
      <c r="V24" s="72"/>
      <c r="W24" s="72" t="s">
        <v>335</v>
      </c>
      <c r="X24" s="55"/>
      <c r="Y24" s="94"/>
      <c r="Z24" s="72" t="s">
        <v>97</v>
      </c>
      <c r="AA24" s="220"/>
      <c r="AB24" s="69"/>
      <c r="AC24" s="44" t="s">
        <v>266</v>
      </c>
      <c r="AD24" s="115" t="str">
        <f>_xlfn.IFS($F$61=4,$E$82,$F$62=4,$E$82,TRUE,"")</f>
        <v/>
      </c>
      <c r="AE24" s="39"/>
      <c r="AF24" s="39"/>
      <c r="AG24" s="39"/>
      <c r="AH24" s="39"/>
      <c r="AI24" s="41"/>
      <c r="AJ24" s="39"/>
      <c r="AK24" s="68"/>
    </row>
    <row r="25" spans="1:37" ht="18.75" customHeight="1">
      <c r="A25" s="55"/>
      <c r="B25" s="55"/>
      <c r="C25" s="72"/>
      <c r="D25" s="72" t="s">
        <v>162</v>
      </c>
      <c r="E25" s="93">
        <f>IF(シナリオ1!E25="","",シナリオ1!E25)</f>
        <v>50</v>
      </c>
      <c r="F25" s="72" t="s">
        <v>299</v>
      </c>
      <c r="G25" s="55"/>
      <c r="H25" s="72"/>
      <c r="I25" s="72" t="s">
        <v>69</v>
      </c>
      <c r="J25" s="94"/>
      <c r="K25" s="72" t="s">
        <v>299</v>
      </c>
      <c r="L25" s="55"/>
      <c r="M25" s="55"/>
      <c r="N25" s="55"/>
      <c r="O25" s="72"/>
      <c r="P25" s="72" t="s">
        <v>69</v>
      </c>
      <c r="Q25" s="94">
        <v>400</v>
      </c>
      <c r="R25" s="72" t="s">
        <v>299</v>
      </c>
      <c r="S25" s="72"/>
      <c r="T25" s="72"/>
      <c r="U25" s="55"/>
      <c r="V25" s="72"/>
      <c r="W25" s="72" t="s">
        <v>336</v>
      </c>
      <c r="X25" s="55"/>
      <c r="Y25" s="94"/>
      <c r="Z25" s="72" t="s">
        <v>97</v>
      </c>
      <c r="AA25" s="220"/>
      <c r="AB25" s="69"/>
      <c r="AC25" s="44" t="s">
        <v>633</v>
      </c>
      <c r="AD25" s="115" t="str">
        <f>_xlfn.IFS($F$61=2,$E$83,$F$61=4,$E$83,TRUE,"")</f>
        <v/>
      </c>
      <c r="AE25" s="39"/>
      <c r="AF25" s="39"/>
      <c r="AG25" s="39"/>
      <c r="AH25" s="39"/>
      <c r="AI25" s="41"/>
      <c r="AJ25" s="39"/>
      <c r="AK25" s="68"/>
    </row>
    <row r="26" spans="1:37" ht="18.75" customHeight="1">
      <c r="A26" s="55"/>
      <c r="B26" s="55"/>
      <c r="C26" s="72"/>
      <c r="D26" s="72" t="s">
        <v>163</v>
      </c>
      <c r="E26" s="93">
        <f>IF(シナリオ1!E26="","",シナリオ1!E26)</f>
        <v>100</v>
      </c>
      <c r="F26" s="72" t="s">
        <v>348</v>
      </c>
      <c r="G26" s="55"/>
      <c r="H26" s="72"/>
      <c r="I26" s="72" t="s">
        <v>70</v>
      </c>
      <c r="J26" s="94"/>
      <c r="K26" s="72" t="s">
        <v>348</v>
      </c>
      <c r="L26" s="55"/>
      <c r="M26" s="55"/>
      <c r="N26" s="55"/>
      <c r="O26" s="72"/>
      <c r="P26" s="72" t="s">
        <v>70</v>
      </c>
      <c r="Q26" s="94">
        <v>250</v>
      </c>
      <c r="R26" s="72" t="s">
        <v>348</v>
      </c>
      <c r="S26" s="72"/>
      <c r="T26" s="72"/>
      <c r="U26" s="55"/>
      <c r="V26" s="72"/>
      <c r="W26" s="72" t="s">
        <v>434</v>
      </c>
      <c r="X26" s="55"/>
      <c r="Y26" s="94"/>
      <c r="Z26" s="72" t="s">
        <v>433</v>
      </c>
      <c r="AA26" s="220"/>
      <c r="AB26" s="69"/>
      <c r="AC26" s="44" t="s">
        <v>586</v>
      </c>
      <c r="AD26" s="115" t="str">
        <f>IF($F$66=1,$E$84,"")</f>
        <v/>
      </c>
      <c r="AE26" s="39"/>
      <c r="AF26" s="39"/>
      <c r="AG26" s="39"/>
      <c r="AH26" s="39"/>
      <c r="AI26" s="41"/>
      <c r="AJ26" s="39"/>
      <c r="AK26" s="68"/>
    </row>
    <row r="27" spans="1:37" ht="18.75" customHeight="1">
      <c r="A27" s="55"/>
      <c r="B27" s="55"/>
      <c r="C27" s="72"/>
      <c r="D27" s="72" t="s">
        <v>164</v>
      </c>
      <c r="E27" s="177" t="str">
        <f>IF(シナリオ1!E27="","",シナリオ1!E27)</f>
        <v>水道利用組合等</v>
      </c>
      <c r="F27" s="55"/>
      <c r="G27" s="55"/>
      <c r="H27" s="72"/>
      <c r="I27" s="72" t="s">
        <v>71</v>
      </c>
      <c r="J27" s="95"/>
      <c r="K27" s="55"/>
      <c r="L27" s="55"/>
      <c r="M27" s="55"/>
      <c r="N27" s="55"/>
      <c r="O27" s="72"/>
      <c r="P27" s="72" t="s">
        <v>71</v>
      </c>
      <c r="Q27" s="95" t="s">
        <v>278</v>
      </c>
      <c r="R27" s="55"/>
      <c r="S27" s="55"/>
      <c r="T27" s="55"/>
      <c r="U27" s="55"/>
      <c r="V27" s="72"/>
      <c r="W27" s="72"/>
      <c r="X27" s="55"/>
      <c r="Y27" s="55"/>
      <c r="Z27" s="55"/>
      <c r="AA27" s="220"/>
      <c r="AB27" s="69"/>
      <c r="AC27" s="73" t="s">
        <v>377</v>
      </c>
      <c r="AD27" s="115" t="str">
        <f>IF(OR($F$60=2,$F$60=3),$E$85,"")</f>
        <v>・年間コスト（当該地域）は，事業全体の年間コストのうち，当該地域分の年間コストを表しています．接続あるいは経営統合した水道事業全体の給水人口に対する当該地域の給水人口比から算出しています．</v>
      </c>
      <c r="AE27" s="39"/>
      <c r="AF27" s="39"/>
      <c r="AG27" s="39"/>
      <c r="AH27" s="39"/>
      <c r="AI27" s="41"/>
      <c r="AJ27" s="39"/>
      <c r="AK27" s="68"/>
    </row>
    <row r="28" spans="1:37" ht="18.75" customHeight="1">
      <c r="A28" s="55"/>
      <c r="B28" s="55"/>
      <c r="C28" s="55"/>
      <c r="D28" s="55"/>
      <c r="E28" s="55"/>
      <c r="F28" s="55"/>
      <c r="G28" s="55"/>
      <c r="H28" s="72"/>
      <c r="I28" s="72"/>
      <c r="J28" s="55"/>
      <c r="K28" s="55"/>
      <c r="L28" s="55"/>
      <c r="M28" s="55"/>
      <c r="N28" s="55"/>
      <c r="O28" s="55"/>
      <c r="P28" s="55"/>
      <c r="Q28" s="60"/>
      <c r="R28" s="55"/>
      <c r="S28" s="55"/>
      <c r="T28" s="55"/>
      <c r="U28" s="55"/>
      <c r="V28" s="58" t="s">
        <v>318</v>
      </c>
      <c r="W28" s="55"/>
      <c r="X28" s="55"/>
      <c r="Y28" s="55"/>
      <c r="Z28" s="55"/>
      <c r="AA28" s="220"/>
      <c r="AB28" s="69"/>
      <c r="AC28" s="44" t="s">
        <v>634</v>
      </c>
      <c r="AD28" s="115" t="str">
        <f>_xlfn.IFS(AND($F$60=2,$F$67=1),$E$86,$F$60=3,$E$86,TRUE,"")</f>
        <v>・接続あるいは経営統合先の事業認可が変更になる可能性があるため，確認が必要です．</v>
      </c>
      <c r="AE28" s="39"/>
      <c r="AF28" s="39"/>
      <c r="AG28" s="39"/>
      <c r="AH28" s="39"/>
      <c r="AI28" s="39"/>
      <c r="AJ28" s="39"/>
      <c r="AK28" s="68"/>
    </row>
    <row r="29" spans="1:37" ht="18.75" customHeight="1">
      <c r="A29" s="55"/>
      <c r="B29" s="55"/>
      <c r="C29" s="72" t="s">
        <v>159</v>
      </c>
      <c r="D29" s="72"/>
      <c r="E29" s="72"/>
      <c r="F29" s="55"/>
      <c r="G29" s="55"/>
      <c r="H29" s="72" t="s">
        <v>574</v>
      </c>
      <c r="I29" s="72"/>
      <c r="J29" s="55"/>
      <c r="K29" s="55"/>
      <c r="L29" s="55"/>
      <c r="M29" s="55"/>
      <c r="N29" s="55"/>
      <c r="O29" s="72" t="s">
        <v>576</v>
      </c>
      <c r="P29" s="72"/>
      <c r="Q29" s="84"/>
      <c r="R29" s="55"/>
      <c r="S29" s="55"/>
      <c r="T29" s="55"/>
      <c r="U29" s="55"/>
      <c r="V29" s="72" t="s">
        <v>315</v>
      </c>
      <c r="W29" s="72"/>
      <c r="X29" s="55"/>
      <c r="Y29" s="55"/>
      <c r="Z29" s="55"/>
      <c r="AA29" s="220"/>
      <c r="AB29" s="69"/>
      <c r="AC29" s="44" t="s">
        <v>635</v>
      </c>
      <c r="AD29" s="115" t="str">
        <f>IF($F$67=2,$E$87,"")</f>
        <v/>
      </c>
      <c r="AE29" s="39"/>
      <c r="AF29" s="39"/>
      <c r="AG29" s="39"/>
      <c r="AH29" s="39"/>
      <c r="AI29" s="41"/>
      <c r="AJ29" s="39"/>
      <c r="AK29" s="68"/>
    </row>
    <row r="30" spans="1:37" ht="18.75" customHeight="1">
      <c r="A30" s="55"/>
      <c r="B30" s="55"/>
      <c r="C30" s="72"/>
      <c r="D30" s="72" t="s">
        <v>165</v>
      </c>
      <c r="E30" s="93" t="str">
        <f>IF(シナリオ1!E30="","",シナリオ1!E30)</f>
        <v>湧水</v>
      </c>
      <c r="F30" s="55"/>
      <c r="G30" s="55"/>
      <c r="H30" s="72"/>
      <c r="I30" s="72" t="s">
        <v>165</v>
      </c>
      <c r="J30" s="94"/>
      <c r="K30" s="55"/>
      <c r="L30" s="55"/>
      <c r="M30" s="55"/>
      <c r="N30" s="55"/>
      <c r="O30" s="72"/>
      <c r="P30" s="72" t="s">
        <v>165</v>
      </c>
      <c r="Q30" s="94" t="s">
        <v>48</v>
      </c>
      <c r="R30" s="55"/>
      <c r="S30" s="55"/>
      <c r="T30" s="55"/>
      <c r="U30" s="55"/>
      <c r="V30" s="72"/>
      <c r="W30" s="72" t="s">
        <v>317</v>
      </c>
      <c r="X30" s="55"/>
      <c r="Y30" s="55"/>
      <c r="Z30" s="55"/>
      <c r="AA30" s="220"/>
      <c r="AB30" s="69"/>
      <c r="AC30" s="44" t="s">
        <v>269</v>
      </c>
      <c r="AD30" s="115" t="str">
        <f>IF($F$60=1,_xlfn.IFS($F68=1,$E$89,$F68=3,$E$90,$F68=6,$E$91,TRUE,""),"")</f>
        <v/>
      </c>
      <c r="AE30" s="39"/>
      <c r="AF30" s="39"/>
      <c r="AG30" s="39"/>
      <c r="AH30" s="39"/>
      <c r="AI30" s="41"/>
      <c r="AJ30" s="39"/>
      <c r="AK30" s="68"/>
    </row>
    <row r="31" spans="1:37" ht="18.75" customHeight="1">
      <c r="A31" s="55"/>
      <c r="B31" s="55"/>
      <c r="C31" s="72"/>
      <c r="D31" s="72" t="s">
        <v>349</v>
      </c>
      <c r="E31" s="93" t="str">
        <f>IF(シナリオ1!E31="","",シナリオ1!E31)</f>
        <v/>
      </c>
      <c r="F31" s="55"/>
      <c r="G31" s="55"/>
      <c r="H31" s="72"/>
      <c r="I31" s="72" t="s">
        <v>349</v>
      </c>
      <c r="J31" s="94"/>
      <c r="K31" s="55"/>
      <c r="L31" s="55"/>
      <c r="M31" s="55"/>
      <c r="N31" s="55"/>
      <c r="O31" s="72"/>
      <c r="P31" s="72" t="s">
        <v>349</v>
      </c>
      <c r="Q31" s="94"/>
      <c r="R31" s="55"/>
      <c r="S31" s="55"/>
      <c r="T31" s="55"/>
      <c r="U31" s="55"/>
      <c r="V31" s="72"/>
      <c r="W31" s="72" t="s">
        <v>334</v>
      </c>
      <c r="X31" s="55"/>
      <c r="Y31" s="94"/>
      <c r="Z31" s="72" t="s">
        <v>97</v>
      </c>
      <c r="AA31" s="220"/>
      <c r="AB31" s="69"/>
      <c r="AC31" s="44" t="s">
        <v>270</v>
      </c>
      <c r="AD31" s="115" t="str">
        <f>IF($F$60=1,_xlfn.IFS($F69=1,$E$89,$F69=3,$E$90,$F69=6,$E$91,TRUE,""),"")</f>
        <v/>
      </c>
      <c r="AE31" s="39"/>
      <c r="AF31" s="39"/>
      <c r="AG31" s="39"/>
      <c r="AH31" s="39"/>
      <c r="AI31" s="41"/>
      <c r="AJ31" s="39"/>
      <c r="AK31" s="39"/>
    </row>
    <row r="32" spans="1:37" ht="18.75" customHeight="1">
      <c r="A32" s="55"/>
      <c r="B32" s="55"/>
      <c r="C32" s="72"/>
      <c r="D32" s="72" t="s">
        <v>350</v>
      </c>
      <c r="E32" s="93" t="str">
        <f>IF(シナリオ1!E32="","",シナリオ1!E32)</f>
        <v/>
      </c>
      <c r="F32" s="55"/>
      <c r="G32" s="55"/>
      <c r="H32" s="72"/>
      <c r="I32" s="72" t="s">
        <v>350</v>
      </c>
      <c r="J32" s="94"/>
      <c r="K32" s="55"/>
      <c r="L32" s="55"/>
      <c r="M32" s="55"/>
      <c r="N32" s="55"/>
      <c r="O32" s="72"/>
      <c r="P32" s="72" t="s">
        <v>350</v>
      </c>
      <c r="Q32" s="94"/>
      <c r="R32" s="55"/>
      <c r="S32" s="55"/>
      <c r="T32" s="55"/>
      <c r="U32" s="55"/>
      <c r="V32" s="72"/>
      <c r="W32" s="72" t="s">
        <v>343</v>
      </c>
      <c r="X32" s="55"/>
      <c r="Y32" s="55"/>
      <c r="Z32" s="55"/>
      <c r="AA32" s="220"/>
      <c r="AB32" s="69"/>
      <c r="AC32" s="44" t="s">
        <v>271</v>
      </c>
      <c r="AD32" s="115" t="str">
        <f>IF($F$60=1,_xlfn.IFS($F70=1,$E$89,$F70=3,$E$90,$F70=6,$E$91,TRUE,""),"")</f>
        <v/>
      </c>
      <c r="AE32" s="39"/>
      <c r="AF32" s="39"/>
      <c r="AG32" s="39"/>
      <c r="AH32" s="39"/>
      <c r="AI32" s="39"/>
      <c r="AJ32" s="39"/>
      <c r="AK32" s="39"/>
    </row>
    <row r="33" spans="1:37" ht="18.75" customHeight="1">
      <c r="A33" s="55"/>
      <c r="B33" s="55"/>
      <c r="C33" s="72"/>
      <c r="D33" s="72" t="s">
        <v>351</v>
      </c>
      <c r="E33" s="93" t="str">
        <f>IF(シナリオ1!E33="","",シナリオ1!E33)</f>
        <v/>
      </c>
      <c r="F33" s="55"/>
      <c r="G33" s="55"/>
      <c r="H33" s="72"/>
      <c r="I33" s="72" t="s">
        <v>351</v>
      </c>
      <c r="J33" s="94"/>
      <c r="K33" s="55"/>
      <c r="L33" s="55"/>
      <c r="M33" s="55"/>
      <c r="N33" s="55"/>
      <c r="O33" s="72"/>
      <c r="P33" s="72" t="s">
        <v>351</v>
      </c>
      <c r="Q33" s="94"/>
      <c r="R33" s="55"/>
      <c r="S33" s="55"/>
      <c r="T33" s="55"/>
      <c r="U33" s="55"/>
      <c r="V33" s="72"/>
      <c r="W33" s="72" t="s">
        <v>333</v>
      </c>
      <c r="X33" s="55"/>
      <c r="Y33" s="94"/>
      <c r="Z33" s="72" t="s">
        <v>97</v>
      </c>
      <c r="AA33" s="220"/>
      <c r="AB33" s="69"/>
      <c r="AC33" s="44" t="s">
        <v>272</v>
      </c>
      <c r="AD33" s="115" t="str">
        <f>IF($F$60=1,_xlfn.IFS($F71=1,$E$89,$F71=3,$E$90,$F71=6,$E$91,TRUE,""),"")</f>
        <v/>
      </c>
      <c r="AE33" s="39"/>
      <c r="AF33" s="39"/>
      <c r="AG33" s="39"/>
      <c r="AH33" s="39"/>
      <c r="AI33" s="39"/>
      <c r="AJ33" s="39"/>
      <c r="AK33" s="39"/>
    </row>
    <row r="34" spans="1:37" ht="18.75" customHeight="1">
      <c r="A34" s="55"/>
      <c r="B34" s="55"/>
      <c r="C34" s="72"/>
      <c r="D34" s="72" t="s">
        <v>166</v>
      </c>
      <c r="E34" s="93" t="str">
        <f>IF(シナリオ1!E34="","",シナリオ1!E34)</f>
        <v>無処理</v>
      </c>
      <c r="F34" s="55"/>
      <c r="G34" s="55"/>
      <c r="H34" s="72"/>
      <c r="I34" s="72" t="s">
        <v>166</v>
      </c>
      <c r="J34" s="94"/>
      <c r="K34" s="55"/>
      <c r="L34" s="55"/>
      <c r="M34" s="55"/>
      <c r="N34" s="55"/>
      <c r="O34" s="72"/>
      <c r="P34" s="72" t="s">
        <v>166</v>
      </c>
      <c r="Q34" s="94" t="s">
        <v>54</v>
      </c>
      <c r="R34" s="55"/>
      <c r="S34" s="55"/>
      <c r="T34" s="55"/>
      <c r="U34" s="55"/>
      <c r="V34" s="72"/>
      <c r="W34" s="72" t="s">
        <v>342</v>
      </c>
      <c r="X34" s="55"/>
      <c r="Y34" s="55"/>
      <c r="Z34" s="55"/>
      <c r="AA34" s="220"/>
      <c r="AB34" s="69"/>
      <c r="AC34" s="44" t="s">
        <v>273</v>
      </c>
      <c r="AD34" s="115" t="str">
        <f>IF($F$60=1,_xlfn.IFS($F72=1,$E$94,$F72=2,$E$95,$F72=3,$E$96,$F72=5,$E$97,TRUE,""),"")</f>
        <v/>
      </c>
      <c r="AE34" s="39"/>
      <c r="AF34" s="39"/>
      <c r="AG34" s="39"/>
      <c r="AH34" s="39"/>
      <c r="AI34" s="39"/>
      <c r="AJ34" s="39"/>
      <c r="AK34" s="39"/>
    </row>
    <row r="35" spans="1:37" ht="18.75" customHeight="1">
      <c r="A35" s="55"/>
      <c r="B35" s="55"/>
      <c r="C35" s="72"/>
      <c r="D35" s="72" t="s">
        <v>352</v>
      </c>
      <c r="E35" s="93" t="str">
        <f>IF(シナリオ1!E35="","",シナリオ1!E35)</f>
        <v/>
      </c>
      <c r="F35" s="55"/>
      <c r="G35" s="55"/>
      <c r="H35" s="72"/>
      <c r="I35" s="72" t="s">
        <v>352</v>
      </c>
      <c r="J35" s="94"/>
      <c r="K35" s="55"/>
      <c r="L35" s="55"/>
      <c r="M35" s="55"/>
      <c r="N35" s="55"/>
      <c r="O35" s="72"/>
      <c r="P35" s="72" t="s">
        <v>352</v>
      </c>
      <c r="Q35" s="94"/>
      <c r="R35" s="55"/>
      <c r="S35" s="55"/>
      <c r="T35" s="55"/>
      <c r="U35" s="55"/>
      <c r="V35" s="72"/>
      <c r="W35" s="72" t="s">
        <v>316</v>
      </c>
      <c r="X35" s="55"/>
      <c r="Y35" s="55"/>
      <c r="Z35" s="55"/>
      <c r="AA35" s="220"/>
      <c r="AB35" s="69"/>
      <c r="AC35" s="44" t="s">
        <v>274</v>
      </c>
      <c r="AD35" s="115" t="str">
        <f>IF($F$60=1,_xlfn.IFS($F73=1,$E$94,$F73=2,$E$95,$F73=3,$E$96,$F73=5,$E$97,TRUE,""),"")</f>
        <v/>
      </c>
      <c r="AE35" s="39"/>
      <c r="AF35" s="39"/>
      <c r="AG35" s="39"/>
      <c r="AH35" s="39"/>
      <c r="AI35" s="41"/>
      <c r="AJ35" s="39"/>
      <c r="AK35" s="39"/>
    </row>
    <row r="36" spans="1:37" ht="18.75" customHeight="1">
      <c r="A36" s="55"/>
      <c r="B36" s="55"/>
      <c r="C36" s="72"/>
      <c r="D36" s="72" t="s">
        <v>353</v>
      </c>
      <c r="E36" s="93" t="str">
        <f>IF(シナリオ1!E36="","",シナリオ1!E36)</f>
        <v/>
      </c>
      <c r="F36" s="55"/>
      <c r="G36" s="55"/>
      <c r="H36" s="72"/>
      <c r="I36" s="72" t="s">
        <v>353</v>
      </c>
      <c r="J36" s="94"/>
      <c r="K36" s="55"/>
      <c r="L36" s="55"/>
      <c r="M36" s="55"/>
      <c r="N36" s="55"/>
      <c r="O36" s="72"/>
      <c r="P36" s="72" t="s">
        <v>353</v>
      </c>
      <c r="Q36" s="94"/>
      <c r="R36" s="55"/>
      <c r="S36" s="55"/>
      <c r="T36" s="55"/>
      <c r="U36" s="55"/>
      <c r="V36" s="72"/>
      <c r="W36" s="72" t="s">
        <v>331</v>
      </c>
      <c r="X36" s="55"/>
      <c r="Y36" s="94"/>
      <c r="Z36" s="72" t="s">
        <v>97</v>
      </c>
      <c r="AA36" s="220"/>
      <c r="AB36" s="69"/>
      <c r="AC36" s="44" t="s">
        <v>275</v>
      </c>
      <c r="AD36" s="115" t="str">
        <f>IF($F$60=1,_xlfn.IFS($F74=1,$E$94,$F74=2,$E$95,$F74=3,$E$96,$F74=5,$E$97,TRUE,""),"")</f>
        <v/>
      </c>
      <c r="AE36" s="39"/>
      <c r="AF36" s="39"/>
      <c r="AG36" s="39"/>
      <c r="AH36" s="39"/>
      <c r="AI36" s="41"/>
      <c r="AJ36" s="39"/>
      <c r="AK36" s="39"/>
    </row>
    <row r="37" spans="1:37" ht="18.75" customHeight="1">
      <c r="A37" s="55"/>
      <c r="B37" s="55"/>
      <c r="C37" s="72"/>
      <c r="D37" s="72" t="s">
        <v>354</v>
      </c>
      <c r="E37" s="93" t="str">
        <f>IF(シナリオ1!E37="","",シナリオ1!E37)</f>
        <v/>
      </c>
      <c r="F37" s="55"/>
      <c r="G37" s="55"/>
      <c r="H37" s="72"/>
      <c r="I37" s="72" t="s">
        <v>354</v>
      </c>
      <c r="J37" s="94"/>
      <c r="K37" s="55"/>
      <c r="L37" s="55"/>
      <c r="M37" s="55"/>
      <c r="N37" s="55"/>
      <c r="O37" s="72"/>
      <c r="P37" s="72" t="s">
        <v>354</v>
      </c>
      <c r="Q37" s="94"/>
      <c r="R37" s="55"/>
      <c r="S37" s="55"/>
      <c r="T37" s="55"/>
      <c r="U37" s="55"/>
      <c r="V37" s="72"/>
      <c r="W37" s="72" t="s">
        <v>641</v>
      </c>
      <c r="X37" s="55"/>
      <c r="Y37" s="55"/>
      <c r="Z37" s="55"/>
      <c r="AA37" s="220"/>
      <c r="AB37" s="69"/>
      <c r="AC37" s="44" t="s">
        <v>276</v>
      </c>
      <c r="AD37" s="115" t="str">
        <f>IF($F$60=1,_xlfn.IFS($F75=1,$E$94,$F75=2,$E$95,$F75=3,$E$96,$F75=5,$E$97,TRUE,""),"")</f>
        <v/>
      </c>
      <c r="AE37" s="39"/>
      <c r="AF37" s="39"/>
      <c r="AG37" s="39"/>
      <c r="AH37" s="39"/>
      <c r="AI37" s="41"/>
      <c r="AJ37" s="39"/>
      <c r="AK37" s="39"/>
    </row>
    <row r="38" spans="1:37" ht="18.75" customHeight="1">
      <c r="A38" s="55"/>
      <c r="B38" s="55"/>
      <c r="C38" s="72"/>
      <c r="D38" s="72" t="s">
        <v>167</v>
      </c>
      <c r="E38" s="93">
        <f>IF(シナリオ1!E38="","",シナリオ1!E38)</f>
        <v>1</v>
      </c>
      <c r="F38" s="55"/>
      <c r="G38" s="55"/>
      <c r="H38" s="72"/>
      <c r="I38" s="72" t="s">
        <v>167</v>
      </c>
      <c r="J38" s="94"/>
      <c r="K38" s="55"/>
      <c r="L38" s="55"/>
      <c r="M38" s="55"/>
      <c r="N38" s="55"/>
      <c r="O38" s="72"/>
      <c r="P38" s="72" t="s">
        <v>167</v>
      </c>
      <c r="Q38" s="94">
        <v>1</v>
      </c>
      <c r="R38" s="55"/>
      <c r="S38" s="55"/>
      <c r="T38" s="55"/>
      <c r="U38" s="55"/>
      <c r="V38" s="72"/>
      <c r="W38" s="72" t="s">
        <v>330</v>
      </c>
      <c r="X38" s="55"/>
      <c r="Y38" s="94"/>
      <c r="Z38" s="72" t="s">
        <v>97</v>
      </c>
      <c r="AA38" s="220"/>
      <c r="AB38" s="69"/>
      <c r="AC38" s="44" t="s">
        <v>339</v>
      </c>
      <c r="AD38" s="115" t="str">
        <f>IF($F$60=4,$E$100,"")</f>
        <v/>
      </c>
      <c r="AE38" s="39"/>
      <c r="AF38" s="39"/>
      <c r="AG38" s="39"/>
      <c r="AH38" s="39"/>
      <c r="AI38" s="41"/>
      <c r="AJ38" s="39"/>
      <c r="AK38" s="39"/>
    </row>
    <row r="39" spans="1:37" ht="18.75" customHeight="1">
      <c r="A39" s="55"/>
      <c r="B39" s="55"/>
      <c r="C39" s="55"/>
      <c r="D39" s="55"/>
      <c r="E39" s="55"/>
      <c r="F39" s="55"/>
      <c r="G39" s="55"/>
      <c r="H39" s="72"/>
      <c r="I39" s="75" t="s">
        <v>284</v>
      </c>
      <c r="J39" s="55"/>
      <c r="K39" s="55"/>
      <c r="L39" s="55"/>
      <c r="M39" s="55"/>
      <c r="N39" s="58"/>
      <c r="O39" s="55"/>
      <c r="P39" s="75" t="s">
        <v>284</v>
      </c>
      <c r="Q39" s="60"/>
      <c r="R39" s="55"/>
      <c r="S39" s="55"/>
      <c r="T39" s="55"/>
      <c r="U39" s="55"/>
      <c r="V39" s="72"/>
      <c r="W39" s="72" t="s">
        <v>332</v>
      </c>
      <c r="X39" s="55"/>
      <c r="Y39" s="55"/>
      <c r="Z39" s="55"/>
      <c r="AA39" s="220"/>
      <c r="AB39" s="66"/>
      <c r="AC39" s="44" t="s">
        <v>340</v>
      </c>
      <c r="AD39" s="115" t="str">
        <f>IF($F$60=4,$E$101,"")</f>
        <v/>
      </c>
      <c r="AE39" s="39"/>
      <c r="AF39" s="39"/>
      <c r="AG39" s="39"/>
      <c r="AH39" s="39"/>
      <c r="AI39" s="41"/>
      <c r="AJ39" s="39"/>
      <c r="AK39" s="39"/>
    </row>
    <row r="40" spans="1:37" ht="18.75" customHeight="1">
      <c r="A40" s="55"/>
      <c r="B40" s="55"/>
      <c r="C40" s="55"/>
      <c r="D40" s="55"/>
      <c r="E40" s="55"/>
      <c r="F40" s="55"/>
      <c r="G40" s="55"/>
      <c r="H40" s="72"/>
      <c r="I40" s="75"/>
      <c r="J40" s="55"/>
      <c r="K40" s="55"/>
      <c r="L40" s="55"/>
      <c r="M40" s="55"/>
      <c r="N40" s="58"/>
      <c r="O40" s="58" t="s">
        <v>584</v>
      </c>
      <c r="P40" s="55"/>
      <c r="Q40" s="60"/>
      <c r="R40" s="55"/>
      <c r="S40" s="55"/>
      <c r="T40" s="55"/>
      <c r="U40" s="55"/>
      <c r="V40" s="72"/>
      <c r="W40" s="75"/>
      <c r="X40" s="55"/>
      <c r="Y40" s="55"/>
      <c r="Z40" s="55"/>
      <c r="AA40" s="220"/>
      <c r="AB40" s="66"/>
      <c r="AC40" s="44" t="s">
        <v>341</v>
      </c>
      <c r="AD40" s="115" t="str">
        <f>IF($F$60=4,$E$102,"")</f>
        <v/>
      </c>
      <c r="AE40" s="39"/>
      <c r="AF40" s="39"/>
      <c r="AG40" s="39"/>
      <c r="AH40" s="39"/>
      <c r="AI40" s="41"/>
      <c r="AJ40" s="39"/>
      <c r="AK40" s="39"/>
    </row>
    <row r="41" spans="1:37" ht="18.75" customHeight="1">
      <c r="A41" s="55"/>
      <c r="B41" s="55"/>
      <c r="C41" s="55"/>
      <c r="D41" s="55"/>
      <c r="E41" s="55"/>
      <c r="F41" s="55"/>
      <c r="G41" s="55"/>
      <c r="H41" s="72" t="s">
        <v>168</v>
      </c>
      <c r="I41" s="72"/>
      <c r="J41" s="55"/>
      <c r="K41" s="55"/>
      <c r="L41" s="55"/>
      <c r="M41" s="55"/>
      <c r="N41" s="55"/>
      <c r="O41" s="72" t="s">
        <v>168</v>
      </c>
      <c r="P41" s="55"/>
      <c r="Q41" s="60"/>
      <c r="R41" s="55"/>
      <c r="S41" s="55"/>
      <c r="T41" s="55"/>
      <c r="U41" s="55"/>
      <c r="V41" s="72" t="s">
        <v>168</v>
      </c>
      <c r="W41" s="72"/>
      <c r="X41" s="55"/>
      <c r="Y41" s="55"/>
      <c r="Z41" s="55"/>
      <c r="AA41" s="220"/>
      <c r="AB41" s="66"/>
      <c r="AC41" s="39"/>
      <c r="AD41" s="39"/>
      <c r="AE41" s="39"/>
      <c r="AF41" s="39"/>
      <c r="AG41" s="39"/>
      <c r="AH41" s="39"/>
      <c r="AI41" s="41"/>
      <c r="AJ41" s="39"/>
      <c r="AK41" s="39"/>
    </row>
    <row r="42" spans="1:37" ht="18.75" customHeight="1">
      <c r="A42" s="55"/>
      <c r="B42" s="55"/>
      <c r="C42" s="55"/>
      <c r="D42" s="55"/>
      <c r="E42" s="55"/>
      <c r="F42" s="55"/>
      <c r="G42" s="55"/>
      <c r="H42" s="72"/>
      <c r="I42" s="72" t="s">
        <v>282</v>
      </c>
      <c r="J42" s="96"/>
      <c r="K42" s="96"/>
      <c r="L42" s="72" t="s">
        <v>86</v>
      </c>
      <c r="M42" s="55"/>
      <c r="N42" s="55"/>
      <c r="O42" s="55"/>
      <c r="P42" s="72"/>
      <c r="Q42" s="165"/>
      <c r="R42" s="166"/>
      <c r="S42" s="72"/>
      <c r="T42" s="72"/>
      <c r="U42" s="55"/>
      <c r="V42" s="72"/>
      <c r="W42" s="72" t="s">
        <v>319</v>
      </c>
      <c r="X42" s="55"/>
      <c r="Y42" s="55"/>
      <c r="Z42" s="72"/>
      <c r="AA42" s="220"/>
      <c r="AB42" s="66"/>
      <c r="AC42" s="39"/>
      <c r="AD42" s="39"/>
      <c r="AE42" s="39"/>
      <c r="AF42" s="39"/>
      <c r="AG42" s="39"/>
      <c r="AH42" s="39"/>
      <c r="AI42" s="41"/>
      <c r="AJ42" s="39"/>
      <c r="AK42" s="39"/>
    </row>
    <row r="43" spans="1:37" ht="18.75" customHeight="1">
      <c r="A43" s="55"/>
      <c r="B43" s="55"/>
      <c r="C43" s="55"/>
      <c r="D43" s="55"/>
      <c r="E43" s="55"/>
      <c r="F43" s="55"/>
      <c r="G43" s="55"/>
      <c r="H43" s="72"/>
      <c r="I43" s="72" t="s">
        <v>378</v>
      </c>
      <c r="J43" s="96"/>
      <c r="K43" s="96"/>
      <c r="L43" s="72" t="s">
        <v>86</v>
      </c>
      <c r="M43" s="55"/>
      <c r="N43" s="55"/>
      <c r="O43" s="55"/>
      <c r="P43" s="72" t="s">
        <v>378</v>
      </c>
      <c r="Q43" s="163" t="s">
        <v>562</v>
      </c>
      <c r="R43" s="164">
        <v>4000</v>
      </c>
      <c r="S43" s="72" t="s">
        <v>86</v>
      </c>
      <c r="T43" s="72"/>
      <c r="U43" s="55"/>
      <c r="V43" s="72"/>
      <c r="W43" s="72" t="s">
        <v>323</v>
      </c>
      <c r="X43" s="85" t="s">
        <v>638</v>
      </c>
      <c r="Y43" s="85">
        <f>$Y$31</f>
        <v>0</v>
      </c>
      <c r="Z43" s="72" t="s">
        <v>106</v>
      </c>
      <c r="AA43" s="220"/>
      <c r="AB43" s="66"/>
      <c r="AC43" s="39"/>
      <c r="AD43" s="39"/>
      <c r="AE43" s="39"/>
      <c r="AF43" s="39"/>
      <c r="AG43" s="39"/>
      <c r="AH43" s="39"/>
      <c r="AI43" s="41"/>
      <c r="AJ43" s="39"/>
      <c r="AK43" s="39"/>
    </row>
    <row r="44" spans="1:37" ht="18.75" customHeight="1">
      <c r="A44" s="55"/>
      <c r="B44" s="55"/>
      <c r="C44" s="55"/>
      <c r="D44" s="55"/>
      <c r="E44" s="55"/>
      <c r="F44" s="55"/>
      <c r="G44" s="55"/>
      <c r="H44" s="72"/>
      <c r="I44" s="72" t="s">
        <v>379</v>
      </c>
      <c r="J44" s="96"/>
      <c r="K44" s="96"/>
      <c r="L44" s="72" t="s">
        <v>86</v>
      </c>
      <c r="M44" s="55"/>
      <c r="N44" s="55"/>
      <c r="O44" s="55"/>
      <c r="P44" s="72" t="s">
        <v>379</v>
      </c>
      <c r="Q44" s="98"/>
      <c r="R44" s="96"/>
      <c r="S44" s="72" t="s">
        <v>86</v>
      </c>
      <c r="T44" s="72"/>
      <c r="U44" s="55"/>
      <c r="V44" s="72"/>
      <c r="W44" s="72" t="s">
        <v>419</v>
      </c>
      <c r="X44" s="96"/>
      <c r="Y44" s="96"/>
      <c r="Z44" s="72" t="s">
        <v>86</v>
      </c>
      <c r="AA44" s="220"/>
      <c r="AB44" s="66"/>
      <c r="AC44" s="39"/>
      <c r="AD44" s="39"/>
      <c r="AE44" s="39"/>
      <c r="AF44" s="39"/>
      <c r="AG44" s="39"/>
      <c r="AH44" s="39"/>
      <c r="AI44" s="41"/>
      <c r="AJ44" s="39"/>
      <c r="AK44" s="39"/>
    </row>
    <row r="45" spans="1:37" ht="18.75" customHeight="1">
      <c r="A45" s="55"/>
      <c r="B45" s="55"/>
      <c r="C45" s="55"/>
      <c r="D45" s="55"/>
      <c r="E45" s="55"/>
      <c r="F45" s="55"/>
      <c r="G45" s="55"/>
      <c r="H45" s="72"/>
      <c r="I45" s="72" t="s">
        <v>380</v>
      </c>
      <c r="J45" s="96"/>
      <c r="K45" s="96"/>
      <c r="L45" s="72" t="s">
        <v>86</v>
      </c>
      <c r="M45" s="55"/>
      <c r="N45" s="55"/>
      <c r="O45" s="55"/>
      <c r="P45" s="72" t="s">
        <v>380</v>
      </c>
      <c r="Q45" s="98"/>
      <c r="R45" s="96"/>
      <c r="S45" s="72" t="s">
        <v>86</v>
      </c>
      <c r="T45" s="72"/>
      <c r="U45" s="55"/>
      <c r="V45" s="72"/>
      <c r="W45" s="72" t="s">
        <v>320</v>
      </c>
      <c r="X45" s="55"/>
      <c r="Y45" s="55"/>
      <c r="Z45" s="72"/>
      <c r="AA45" s="220"/>
      <c r="AB45" s="66"/>
      <c r="AC45" s="39"/>
      <c r="AD45" s="39"/>
      <c r="AE45" s="39"/>
      <c r="AF45" s="39"/>
      <c r="AG45" s="41"/>
      <c r="AH45" s="39"/>
      <c r="AI45" s="39"/>
      <c r="AJ45" s="39"/>
      <c r="AK45" s="39"/>
    </row>
    <row r="46" spans="1:37" ht="18.75" customHeight="1">
      <c r="A46" s="55"/>
      <c r="B46" s="55"/>
      <c r="C46" s="55"/>
      <c r="D46" s="55"/>
      <c r="E46" s="55"/>
      <c r="F46" s="55"/>
      <c r="G46" s="55"/>
      <c r="H46" s="72"/>
      <c r="I46" s="72" t="s">
        <v>302</v>
      </c>
      <c r="J46" s="96"/>
      <c r="K46" s="96"/>
      <c r="L46" s="72" t="s">
        <v>106</v>
      </c>
      <c r="M46" s="55"/>
      <c r="N46" s="55"/>
      <c r="O46" s="55"/>
      <c r="P46" s="72" t="s">
        <v>76</v>
      </c>
      <c r="Q46" s="98" t="s">
        <v>89</v>
      </c>
      <c r="R46" s="96">
        <v>1</v>
      </c>
      <c r="S46" s="72" t="s">
        <v>96</v>
      </c>
      <c r="T46" s="72"/>
      <c r="U46" s="55"/>
      <c r="V46" s="72"/>
      <c r="W46" s="72" t="s">
        <v>324</v>
      </c>
      <c r="X46" s="85" t="s">
        <v>638</v>
      </c>
      <c r="Y46" s="85">
        <f>$Y$33</f>
        <v>0</v>
      </c>
      <c r="Z46" s="72" t="s">
        <v>106</v>
      </c>
      <c r="AA46" s="220"/>
      <c r="AB46" s="66"/>
      <c r="AC46" s="39"/>
      <c r="AD46" s="39"/>
      <c r="AE46" s="39"/>
      <c r="AF46" s="39"/>
      <c r="AG46" s="41"/>
      <c r="AH46" s="39"/>
      <c r="AI46" s="39"/>
      <c r="AJ46" s="39"/>
      <c r="AK46" s="39"/>
    </row>
    <row r="47" spans="1:37" ht="18.75" customHeight="1">
      <c r="A47" s="55"/>
      <c r="B47" s="55"/>
      <c r="C47" s="55"/>
      <c r="D47" s="55"/>
      <c r="E47" s="55"/>
      <c r="F47" s="55"/>
      <c r="G47" s="55"/>
      <c r="H47" s="72"/>
      <c r="I47" s="72" t="s">
        <v>303</v>
      </c>
      <c r="J47" s="96"/>
      <c r="K47" s="96"/>
      <c r="L47" s="72" t="s">
        <v>106</v>
      </c>
      <c r="M47" s="55"/>
      <c r="N47" s="55"/>
      <c r="O47" s="55"/>
      <c r="P47" s="72" t="s">
        <v>283</v>
      </c>
      <c r="Q47" s="98" t="s">
        <v>91</v>
      </c>
      <c r="R47" s="96">
        <v>2</v>
      </c>
      <c r="S47" s="72" t="s">
        <v>97</v>
      </c>
      <c r="T47" s="72"/>
      <c r="U47" s="55"/>
      <c r="V47" s="72"/>
      <c r="W47" s="72" t="s">
        <v>325</v>
      </c>
      <c r="X47" s="85" t="s">
        <v>52</v>
      </c>
      <c r="Y47" s="85">
        <f>$Y$33</f>
        <v>0</v>
      </c>
      <c r="Z47" s="72" t="s">
        <v>106</v>
      </c>
      <c r="AA47" s="220"/>
      <c r="AB47" s="66"/>
      <c r="AC47" s="39"/>
      <c r="AD47" s="39"/>
      <c r="AE47" s="39"/>
      <c r="AF47" s="39"/>
      <c r="AG47" s="41"/>
      <c r="AH47" s="39"/>
      <c r="AI47" s="39"/>
      <c r="AJ47" s="39"/>
      <c r="AK47" s="39"/>
    </row>
    <row r="48" spans="1:37" ht="18.75" customHeight="1">
      <c r="A48" s="55"/>
      <c r="B48" s="55"/>
      <c r="C48" s="55"/>
      <c r="D48" s="55"/>
      <c r="E48" s="55"/>
      <c r="F48" s="55"/>
      <c r="G48" s="55"/>
      <c r="H48" s="72"/>
      <c r="I48" s="72" t="s">
        <v>304</v>
      </c>
      <c r="J48" s="96"/>
      <c r="K48" s="96"/>
      <c r="L48" s="72" t="s">
        <v>96</v>
      </c>
      <c r="M48" s="55"/>
      <c r="N48" s="55"/>
      <c r="O48" s="55"/>
      <c r="P48" s="55"/>
      <c r="Q48" s="162"/>
      <c r="R48" s="161"/>
      <c r="S48" s="72"/>
      <c r="T48" s="72"/>
      <c r="U48" s="55"/>
      <c r="V48" s="72"/>
      <c r="W48" s="72" t="s">
        <v>420</v>
      </c>
      <c r="X48" s="96"/>
      <c r="Y48" s="96"/>
      <c r="Z48" s="72" t="s">
        <v>86</v>
      </c>
      <c r="AA48" s="220"/>
      <c r="AB48" s="66"/>
      <c r="AC48" s="39"/>
      <c r="AD48" s="39"/>
      <c r="AE48" s="39"/>
      <c r="AF48" s="39"/>
      <c r="AG48" s="39"/>
      <c r="AH48" s="41"/>
      <c r="AI48" s="39"/>
      <c r="AJ48" s="39"/>
      <c r="AK48" s="39"/>
    </row>
    <row r="49" spans="1:37" ht="18.75" customHeight="1">
      <c r="A49" s="55"/>
      <c r="B49" s="55"/>
      <c r="C49" s="55"/>
      <c r="D49" s="55"/>
      <c r="E49" s="55"/>
      <c r="F49" s="55"/>
      <c r="G49" s="55"/>
      <c r="H49" s="72"/>
      <c r="I49" s="72" t="s">
        <v>306</v>
      </c>
      <c r="J49" s="96"/>
      <c r="K49" s="96"/>
      <c r="L49" s="72" t="s">
        <v>97</v>
      </c>
      <c r="M49" s="55"/>
      <c r="N49" s="55"/>
      <c r="O49" s="72" t="s">
        <v>188</v>
      </c>
      <c r="P49" s="72"/>
      <c r="Q49" s="55"/>
      <c r="R49" s="55"/>
      <c r="S49" s="72"/>
      <c r="T49" s="72"/>
      <c r="U49" s="55"/>
      <c r="V49" s="72"/>
      <c r="W49" s="72" t="s">
        <v>321</v>
      </c>
      <c r="X49" s="55"/>
      <c r="Y49" s="55"/>
      <c r="Z49" s="72"/>
      <c r="AA49" s="220"/>
      <c r="AB49" s="66"/>
      <c r="AC49" s="39"/>
      <c r="AD49" s="39"/>
      <c r="AE49" s="39"/>
      <c r="AF49" s="39"/>
      <c r="AG49" s="39"/>
      <c r="AH49" s="41"/>
      <c r="AI49" s="39"/>
      <c r="AJ49" s="39"/>
      <c r="AK49" s="39"/>
    </row>
    <row r="50" spans="1:37" ht="18.75" customHeight="1">
      <c r="A50" s="55"/>
      <c r="B50" s="55"/>
      <c r="C50" s="55"/>
      <c r="D50" s="55"/>
      <c r="E50" s="55"/>
      <c r="F50" s="55"/>
      <c r="G50" s="55"/>
      <c r="H50" s="55"/>
      <c r="I50" s="72" t="s">
        <v>402</v>
      </c>
      <c r="J50" s="96"/>
      <c r="K50" s="96"/>
      <c r="L50" s="72" t="s">
        <v>106</v>
      </c>
      <c r="M50" s="55"/>
      <c r="N50" s="55"/>
      <c r="O50" s="72"/>
      <c r="P50" s="72" t="s">
        <v>189</v>
      </c>
      <c r="Q50" s="97" t="s">
        <v>192</v>
      </c>
      <c r="R50" s="55"/>
      <c r="S50" s="55"/>
      <c r="T50" s="55"/>
      <c r="U50" s="55"/>
      <c r="V50" s="55"/>
      <c r="W50" s="72" t="s">
        <v>326</v>
      </c>
      <c r="X50" s="85" t="s">
        <v>640</v>
      </c>
      <c r="Y50" s="85">
        <f>$Y$36</f>
        <v>0</v>
      </c>
      <c r="Z50" s="72" t="s">
        <v>106</v>
      </c>
      <c r="AA50" s="220"/>
      <c r="AB50" s="66"/>
      <c r="AC50" s="39"/>
      <c r="AD50" s="39"/>
      <c r="AE50" s="39"/>
      <c r="AF50" s="39"/>
      <c r="AG50" s="39"/>
      <c r="AH50" s="41"/>
      <c r="AI50" s="39"/>
      <c r="AJ50" s="39"/>
      <c r="AK50" s="39"/>
    </row>
    <row r="51" spans="1:37" ht="19.5">
      <c r="A51" s="55"/>
      <c r="B51" s="55"/>
      <c r="C51" s="55"/>
      <c r="D51" s="55"/>
      <c r="E51" s="55"/>
      <c r="F51" s="55"/>
      <c r="G51" s="55"/>
      <c r="H51" s="55"/>
      <c r="I51" s="72" t="s">
        <v>403</v>
      </c>
      <c r="J51" s="96"/>
      <c r="K51" s="96"/>
      <c r="L51" s="72" t="s">
        <v>106</v>
      </c>
      <c r="M51" s="55"/>
      <c r="N51" s="55"/>
      <c r="O51" s="72"/>
      <c r="P51" s="72" t="s">
        <v>187</v>
      </c>
      <c r="Q51" s="97" t="s">
        <v>192</v>
      </c>
      <c r="R51" s="55"/>
      <c r="S51" s="55"/>
      <c r="T51" s="55"/>
      <c r="U51" s="55"/>
      <c r="V51" s="55"/>
      <c r="W51" s="72" t="s">
        <v>421</v>
      </c>
      <c r="X51" s="96"/>
      <c r="Y51" s="96"/>
      <c r="Z51" s="72" t="s">
        <v>86</v>
      </c>
      <c r="AA51" s="220"/>
      <c r="AB51" s="66"/>
      <c r="AC51" s="39"/>
      <c r="AD51" s="39"/>
      <c r="AE51" s="39"/>
      <c r="AF51" s="39"/>
      <c r="AG51" s="39"/>
      <c r="AH51" s="39"/>
      <c r="AI51" s="41"/>
      <c r="AJ51" s="39"/>
      <c r="AK51" s="39"/>
    </row>
    <row r="52" spans="1:37" ht="19.5">
      <c r="A52" s="55"/>
      <c r="B52" s="55"/>
      <c r="C52" s="55"/>
      <c r="D52" s="55"/>
      <c r="E52" s="55"/>
      <c r="F52" s="55"/>
      <c r="G52" s="55"/>
      <c r="H52" s="55"/>
      <c r="I52" s="72" t="s">
        <v>404</v>
      </c>
      <c r="J52" s="96"/>
      <c r="K52" s="96"/>
      <c r="L52" s="72" t="s">
        <v>96</v>
      </c>
      <c r="M52" s="55"/>
      <c r="N52" s="55"/>
      <c r="O52" s="55"/>
      <c r="P52" s="55"/>
      <c r="Q52" s="162"/>
      <c r="R52" s="161"/>
      <c r="S52" s="55"/>
      <c r="T52" s="55"/>
      <c r="U52" s="55"/>
      <c r="V52" s="55"/>
      <c r="W52" s="72" t="s">
        <v>322</v>
      </c>
      <c r="X52" s="55"/>
      <c r="Y52" s="55"/>
      <c r="Z52" s="72"/>
      <c r="AA52" s="220"/>
      <c r="AB52" s="66"/>
      <c r="AC52" s="39"/>
      <c r="AD52" s="39"/>
      <c r="AE52" s="39"/>
      <c r="AF52" s="39"/>
      <c r="AG52" s="39"/>
      <c r="AH52" s="39"/>
      <c r="AI52" s="41"/>
      <c r="AJ52" s="39"/>
      <c r="AK52" s="39"/>
    </row>
    <row r="53" spans="1:37" ht="19.5">
      <c r="A53" s="55"/>
      <c r="B53" s="55"/>
      <c r="C53" s="55"/>
      <c r="D53" s="55"/>
      <c r="E53" s="55"/>
      <c r="F53" s="55"/>
      <c r="G53" s="55"/>
      <c r="H53" s="55"/>
      <c r="I53" s="72" t="s">
        <v>405</v>
      </c>
      <c r="J53" s="96"/>
      <c r="K53" s="96"/>
      <c r="L53" s="72" t="s">
        <v>97</v>
      </c>
      <c r="M53" s="55"/>
      <c r="N53" s="55"/>
      <c r="O53" s="72" t="s">
        <v>578</v>
      </c>
      <c r="P53" s="55"/>
      <c r="Q53" s="55"/>
      <c r="R53" s="55"/>
      <c r="S53" s="55"/>
      <c r="T53" s="55"/>
      <c r="U53" s="55"/>
      <c r="V53" s="55"/>
      <c r="W53" s="72" t="s">
        <v>327</v>
      </c>
      <c r="X53" s="85" t="s">
        <v>639</v>
      </c>
      <c r="Y53" s="85">
        <f>$Y$38</f>
        <v>0</v>
      </c>
      <c r="Z53" s="72" t="s">
        <v>106</v>
      </c>
      <c r="AA53" s="220"/>
      <c r="AB53" s="66"/>
      <c r="AC53" s="39"/>
      <c r="AD53" s="39"/>
      <c r="AE53" s="39"/>
      <c r="AF53" s="39"/>
      <c r="AG53" s="39"/>
      <c r="AH53" s="39"/>
      <c r="AI53" s="41"/>
      <c r="AJ53" s="39"/>
      <c r="AK53" s="39"/>
    </row>
    <row r="54" spans="1:37" ht="19.5">
      <c r="A54" s="55"/>
      <c r="B54" s="55"/>
      <c r="C54" s="55"/>
      <c r="D54" s="55"/>
      <c r="E54" s="55"/>
      <c r="F54" s="55"/>
      <c r="G54" s="55"/>
      <c r="H54" s="55"/>
      <c r="I54" s="75" t="s">
        <v>603</v>
      </c>
      <c r="J54" s="55"/>
      <c r="K54" s="55"/>
      <c r="L54" s="55"/>
      <c r="M54" s="55"/>
      <c r="N54" s="55"/>
      <c r="O54" s="72"/>
      <c r="P54" s="72" t="s">
        <v>579</v>
      </c>
      <c r="Q54" s="161"/>
      <c r="R54" s="55"/>
      <c r="S54" s="55"/>
      <c r="T54" s="55"/>
      <c r="U54" s="55"/>
      <c r="V54" s="55"/>
      <c r="W54" s="72" t="s">
        <v>422</v>
      </c>
      <c r="X54" s="96"/>
      <c r="Y54" s="96"/>
      <c r="Z54" s="72" t="s">
        <v>86</v>
      </c>
      <c r="AA54" s="220"/>
      <c r="AB54" s="66"/>
      <c r="AC54" s="39"/>
      <c r="AD54" s="39"/>
      <c r="AE54" s="39"/>
      <c r="AF54" s="39"/>
      <c r="AG54" s="39"/>
      <c r="AH54" s="39"/>
      <c r="AI54" s="41"/>
      <c r="AJ54" s="39"/>
      <c r="AK54" s="39"/>
    </row>
    <row r="55" spans="1:37" ht="19.5">
      <c r="A55" s="55"/>
      <c r="B55" s="55"/>
      <c r="C55" s="55"/>
      <c r="D55" s="55"/>
      <c r="E55" s="55"/>
      <c r="F55" s="55"/>
      <c r="G55" s="55"/>
      <c r="H55" s="55"/>
      <c r="I55" s="55"/>
      <c r="J55" s="55"/>
      <c r="K55" s="55"/>
      <c r="L55" s="55"/>
      <c r="M55" s="55"/>
      <c r="N55" s="55"/>
      <c r="O55" s="55"/>
      <c r="P55" s="214" t="s">
        <v>598</v>
      </c>
      <c r="Q55" s="215"/>
      <c r="R55" s="55"/>
      <c r="S55" s="55"/>
      <c r="T55" s="55"/>
      <c r="U55" s="55"/>
      <c r="V55" s="55"/>
      <c r="W55" s="55"/>
      <c r="X55" s="55"/>
      <c r="Y55" s="55"/>
      <c r="Z55" s="55"/>
      <c r="AA55" s="220"/>
      <c r="AB55" s="66"/>
      <c r="AC55" s="39"/>
      <c r="AD55" s="39"/>
      <c r="AE55" s="39"/>
      <c r="AF55" s="39"/>
      <c r="AG55" s="39"/>
      <c r="AH55" s="39"/>
      <c r="AI55" s="41"/>
      <c r="AJ55" s="39"/>
      <c r="AK55" s="39"/>
    </row>
    <row r="56" spans="1:37" ht="19.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221"/>
      <c r="AB56" s="66"/>
      <c r="AC56" s="39"/>
      <c r="AD56" s="39"/>
      <c r="AE56" s="39"/>
      <c r="AF56" s="39"/>
      <c r="AG56" s="39"/>
      <c r="AH56" s="39"/>
      <c r="AI56" s="41"/>
      <c r="AJ56" s="39"/>
      <c r="AK56" s="39"/>
    </row>
    <row r="57" spans="1:37" ht="19.5" hidden="1">
      <c r="A57" s="39"/>
      <c r="B57" s="39" t="s">
        <v>357</v>
      </c>
      <c r="C57" s="39"/>
      <c r="D57" s="40"/>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41"/>
      <c r="AJ57" s="39"/>
      <c r="AK57" s="39"/>
    </row>
    <row r="58" spans="1:37" ht="19.5" hidden="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1"/>
      <c r="AJ58" s="39"/>
      <c r="AK58" s="39"/>
    </row>
    <row r="59" spans="1:37" ht="19.5" hidden="1">
      <c r="A59" s="39"/>
      <c r="B59" s="39"/>
      <c r="C59" s="39"/>
      <c r="D59" s="42" t="s">
        <v>355</v>
      </c>
      <c r="E59" s="39"/>
      <c r="F59" s="39"/>
      <c r="G59" s="39"/>
      <c r="H59" s="39"/>
      <c r="I59" s="42" t="s">
        <v>224</v>
      </c>
      <c r="J59" s="39"/>
      <c r="K59" s="39"/>
      <c r="L59" s="39"/>
      <c r="M59" s="39"/>
      <c r="N59" s="39"/>
      <c r="O59" s="39"/>
      <c r="P59" s="42" t="s">
        <v>225</v>
      </c>
      <c r="Q59" s="39"/>
      <c r="R59" s="39"/>
      <c r="S59" s="39"/>
      <c r="T59" s="39"/>
      <c r="U59" s="39"/>
      <c r="V59" s="39"/>
      <c r="W59" s="42" t="s">
        <v>337</v>
      </c>
      <c r="X59" s="39"/>
      <c r="Y59" s="39"/>
      <c r="Z59" s="39"/>
      <c r="AA59" s="39"/>
      <c r="AB59" s="42" t="s">
        <v>314</v>
      </c>
      <c r="AC59" s="39"/>
      <c r="AD59" s="39"/>
      <c r="AE59" s="39"/>
      <c r="AF59" s="39"/>
      <c r="AG59" s="39"/>
      <c r="AH59" s="52">
        <f>IF(AH62=1,AH70,IF(AH63=1,AH71,IF(AH64=1,AH72,IF(AH65=1,AH73,""))))</f>
        <v>2019.8859732041299</v>
      </c>
      <c r="AI59" s="41"/>
      <c r="AJ59" s="39"/>
      <c r="AK59" s="39"/>
    </row>
    <row r="60" spans="1:37" ht="19.5" hidden="1">
      <c r="A60" s="39"/>
      <c r="B60" s="39"/>
      <c r="C60" s="39"/>
      <c r="D60" s="39"/>
      <c r="E60" s="39" t="s">
        <v>74</v>
      </c>
      <c r="F60" s="39">
        <f>_xlfn.IFS($J$4=Choices!$B$26,1,$J$4=Choices!$B$27,2,$J$4=Choices!$B$28,3,$J$4=Choices!$B$29,4,TRUE,"")</f>
        <v>2</v>
      </c>
      <c r="G60" s="39"/>
      <c r="H60" s="39"/>
      <c r="I60" s="39" t="s">
        <v>119</v>
      </c>
      <c r="J60" s="43">
        <f>IF($J42="",0,VLOOKUP($J42,IC!$B$6:$E$14,4,FALSE)*$K42)</f>
        <v>0</v>
      </c>
      <c r="K60" s="39"/>
      <c r="L60" s="39"/>
      <c r="M60" s="39"/>
      <c r="N60" s="39"/>
      <c r="O60" s="39"/>
      <c r="P60" s="39"/>
      <c r="Q60" s="43"/>
      <c r="R60" s="39"/>
      <c r="S60" s="39"/>
      <c r="T60" s="39"/>
      <c r="U60" s="39"/>
      <c r="V60" s="39"/>
      <c r="W60" s="39" t="s">
        <v>323</v>
      </c>
      <c r="X60" s="43">
        <f>IF($X43="",0,VLOOKUP($X43,IC!$B$17:$E$23,4,FALSE))*$Y43</f>
        <v>0</v>
      </c>
      <c r="Y60" s="39"/>
      <c r="Z60" s="39"/>
      <c r="AA60" s="39"/>
      <c r="AB60" s="39"/>
      <c r="AC60" s="39" t="s">
        <v>254</v>
      </c>
      <c r="AD60" s="39"/>
      <c r="AE60" s="39"/>
      <c r="AF60" s="39"/>
      <c r="AG60" s="39"/>
      <c r="AH60" s="54" t="s">
        <v>251</v>
      </c>
      <c r="AI60" s="41"/>
      <c r="AJ60" s="39"/>
      <c r="AK60" s="39"/>
    </row>
    <row r="61" spans="1:37" ht="19.5" hidden="1">
      <c r="A61" s="39"/>
      <c r="B61" s="39"/>
      <c r="C61" s="39"/>
      <c r="D61" s="39"/>
      <c r="E61" s="39" t="s">
        <v>263</v>
      </c>
      <c r="F61" s="39" t="str">
        <f>IF($F$60=1,_xlfn.IFS(AND($E$27=Choices!$B$8,$J$27=Choices!$B$8),1,AND($E$27=Choices!$B$8,$J$27=Choices!$B$9),2,AND($E$27=Choices!$B$9,$J$27=Choices!$B$8),3,AND($E$27=Choices!$B$9,$J$27=Choices!$B$9),4,TRUE,""),"")</f>
        <v/>
      </c>
      <c r="G61" s="39"/>
      <c r="H61" s="39"/>
      <c r="I61" s="39" t="s">
        <v>120</v>
      </c>
      <c r="J61" s="43">
        <f>IF($J43="",0,VLOOKUP($J43,IC!$B$6:$E$14,4,FALSE)*$K43)</f>
        <v>0</v>
      </c>
      <c r="K61" s="39"/>
      <c r="L61" s="39"/>
      <c r="M61" s="39"/>
      <c r="N61" s="39"/>
      <c r="O61" s="39"/>
      <c r="P61" s="39" t="s">
        <v>120</v>
      </c>
      <c r="Q61" s="43">
        <f>IF($Q43="",0,VLOOKUP($Q43,IC!$B$6:$E$14,4,FALSE)*$R43)</f>
        <v>56000000</v>
      </c>
      <c r="R61" s="39"/>
      <c r="S61" s="39"/>
      <c r="T61" s="39"/>
      <c r="U61" s="39"/>
      <c r="V61" s="39"/>
      <c r="W61" s="39" t="s">
        <v>419</v>
      </c>
      <c r="X61" s="43">
        <f>IF($X44="",0,VLOOKUP($X44,IC!$B$7:$E$14,4,FALSE))*Y44</f>
        <v>0</v>
      </c>
      <c r="Y61" s="39"/>
      <c r="Z61" s="39"/>
      <c r="AA61" s="39"/>
      <c r="AB61" s="39"/>
      <c r="AC61" s="44"/>
      <c r="AD61" s="45" t="s">
        <v>171</v>
      </c>
      <c r="AE61" s="45" t="s">
        <v>599</v>
      </c>
      <c r="AF61" s="45" t="s">
        <v>600</v>
      </c>
      <c r="AG61" s="44" t="s">
        <v>339</v>
      </c>
      <c r="AH61" s="44" t="s">
        <v>222</v>
      </c>
      <c r="AI61" s="41"/>
      <c r="AJ61" s="39"/>
      <c r="AK61" s="39"/>
    </row>
    <row r="62" spans="1:37" ht="19.5" hidden="1">
      <c r="A62" s="39"/>
      <c r="B62" s="39"/>
      <c r="C62" s="39"/>
      <c r="D62" s="39"/>
      <c r="E62" s="39" t="s">
        <v>577</v>
      </c>
      <c r="F62" s="39">
        <f>IF(OR(AND($F$60=2,$F$67=1),$F$60=3),_xlfn.IFS(AND($E$27=Choices!$B$8,$Q$27=Choices!$B$8),1,AND($E$27=Choices!$B$8,$Q$27=Choices!$B$9),2,AND($E$27=Choices!$B$9,$Q$27=Choices!$B$8),3,AND($E$27=Choices!$B$9,$Q$27=Choices!$B$9),4,TRUE,""),"")</f>
        <v>3</v>
      </c>
      <c r="G62" s="39"/>
      <c r="H62" s="39"/>
      <c r="I62" s="39" t="s">
        <v>121</v>
      </c>
      <c r="J62" s="43">
        <f>IF($J44="",0,VLOOKUP($J44,IC!$B$6:$E$14,4,FALSE)*$K44)</f>
        <v>0</v>
      </c>
      <c r="K62" s="39"/>
      <c r="L62" s="39"/>
      <c r="M62" s="39"/>
      <c r="N62" s="39"/>
      <c r="O62" s="39"/>
      <c r="P62" s="39" t="s">
        <v>121</v>
      </c>
      <c r="Q62" s="43">
        <f>IF($Q44="",0,VLOOKUP($Q44,IC!$B$6:$E$14,4,FALSE)*$R44)</f>
        <v>0</v>
      </c>
      <c r="R62" s="39"/>
      <c r="S62" s="39"/>
      <c r="T62" s="39"/>
      <c r="U62" s="39"/>
      <c r="V62" s="39"/>
      <c r="W62" s="39"/>
      <c r="X62" s="39"/>
      <c r="Y62" s="39"/>
      <c r="Z62" s="39"/>
      <c r="AA62" s="39"/>
      <c r="AB62" s="39"/>
      <c r="AC62" s="45" t="s">
        <v>172</v>
      </c>
      <c r="AD62" s="71" t="str">
        <f>IF(AND($J$4=Choices!$B$26,$J$23=Choices!$B$2,$J$24&gt;=20000),1,"")</f>
        <v/>
      </c>
      <c r="AE62" s="71" t="str">
        <f>IF(AND($J$4=Choices!$B$27,$Q$23=Choices!$B$2,$Q$24&gt;=20000),1,"")</f>
        <v/>
      </c>
      <c r="AF62" s="71" t="str">
        <f>IF(AND($J$4=Choices!$B$28,$Q$23=Choices!$B$2,$Q$24&gt;=20000),1,"")</f>
        <v/>
      </c>
      <c r="AG62" s="116"/>
      <c r="AH62" s="71" t="str">
        <f>IF(AND($E$23=Choices!$B$2,$E$24&gt;=20000),1,"")</f>
        <v/>
      </c>
      <c r="AI62" s="41"/>
      <c r="AJ62" s="39"/>
      <c r="AK62" s="39"/>
    </row>
    <row r="63" spans="1:37" ht="19.5" hidden="1">
      <c r="A63" s="39"/>
      <c r="B63" s="39"/>
      <c r="C63" s="39"/>
      <c r="D63" s="39"/>
      <c r="E63" s="39" t="s">
        <v>637</v>
      </c>
      <c r="F63" s="39">
        <f>IF(OR($Q$23=Choices!$B$2,$Q$23=Choices!$B$3),_xlfn.IFS($F$60=2,1,$F$60=3,2,TRUE,""),"")</f>
        <v>1</v>
      </c>
      <c r="G63" s="39"/>
      <c r="H63" s="39"/>
      <c r="I63" s="39" t="s">
        <v>122</v>
      </c>
      <c r="J63" s="43">
        <f>IF($J45="",0,VLOOKUP($J45,IC!$B$6:$E$14,4,FALSE)*$K45)</f>
        <v>0</v>
      </c>
      <c r="K63" s="39"/>
      <c r="L63" s="39"/>
      <c r="M63" s="39"/>
      <c r="N63" s="39"/>
      <c r="O63" s="39"/>
      <c r="P63" s="39" t="s">
        <v>122</v>
      </c>
      <c r="Q63" s="43">
        <f>IF($Q45="",0,VLOOKUP($Q45,IC!$B$6:$E$14,4,FALSE)*$R45)</f>
        <v>0</v>
      </c>
      <c r="R63" s="39"/>
      <c r="S63" s="39"/>
      <c r="T63" s="39"/>
      <c r="U63" s="39"/>
      <c r="V63" s="39"/>
      <c r="W63" s="39" t="s">
        <v>324</v>
      </c>
      <c r="X63" s="43">
        <f>IF($X46="",0,VLOOKUP($X46,IC!$B$17:$E$23,4,FALSE))*$Y46</f>
        <v>0</v>
      </c>
      <c r="Y63" s="39"/>
      <c r="Z63" s="39"/>
      <c r="AA63" s="39"/>
      <c r="AB63" s="39"/>
      <c r="AC63" s="45" t="s">
        <v>173</v>
      </c>
      <c r="AD63" s="71" t="str">
        <f>IF(AND($J$4=Choices!$B$26,$J$23=Choices!$B$2,$J$24&lt;20000),1,"")</f>
        <v/>
      </c>
      <c r="AE63" s="71" t="str">
        <f>IF(AND($J$4=Choices!$B$27,$Q$23=Choices!$B$2,$Q$24&lt;20000),1,"")</f>
        <v/>
      </c>
      <c r="AF63" s="71" t="str">
        <f>IF(AND($J$4=Choices!$B$28,$Q$23=Choices!$B$2,$Q$24&lt;20000),1,"")</f>
        <v/>
      </c>
      <c r="AG63" s="116"/>
      <c r="AH63" s="71" t="str">
        <f>IF(AND($E$23=Choices!$B$2,$E$24&lt;20000),1,"")</f>
        <v/>
      </c>
      <c r="AI63" s="41"/>
      <c r="AJ63" s="39"/>
      <c r="AK63" s="39"/>
    </row>
    <row r="64" spans="1:37" ht="19.5" hidden="1">
      <c r="A64" s="39"/>
      <c r="B64" s="39"/>
      <c r="C64" s="39"/>
      <c r="D64" s="39"/>
      <c r="E64" s="39" t="s">
        <v>265</v>
      </c>
      <c r="F64" s="39" t="str">
        <f>_xlfn.IFS($Q$50=Choices!$B$36,1,$Q$51=Choices!$B$36,1,TRUE,"")</f>
        <v/>
      </c>
      <c r="G64" s="39"/>
      <c r="H64" s="39"/>
      <c r="I64" s="39" t="s">
        <v>302</v>
      </c>
      <c r="J64" s="43">
        <f>IF($J46="",0,VLOOKUP($J46,IC!$B$17:$E$23,4,FALSE))*$K46</f>
        <v>0</v>
      </c>
      <c r="K64" s="39"/>
      <c r="L64" s="39"/>
      <c r="M64" s="39"/>
      <c r="N64" s="39"/>
      <c r="O64" s="39"/>
      <c r="P64" s="39" t="s">
        <v>94</v>
      </c>
      <c r="Q64" s="43">
        <f>IF($Q46="",0,VLOOKUP($Q46,IC!$B$35:$E$37,4,FALSE))*$R46</f>
        <v>2200000</v>
      </c>
      <c r="R64" s="39"/>
      <c r="S64" s="39"/>
      <c r="T64" s="39"/>
      <c r="U64" s="39"/>
      <c r="V64" s="39"/>
      <c r="W64" s="39" t="s">
        <v>325</v>
      </c>
      <c r="X64" s="117">
        <f>IF($X47="",0,VLOOKUP($X47,IC!$B$26:$E$31,4,FALSE))*Y47</f>
        <v>0</v>
      </c>
      <c r="Y64" s="39"/>
      <c r="Z64" s="39"/>
      <c r="AA64" s="39"/>
      <c r="AB64" s="39"/>
      <c r="AC64" s="45" t="s">
        <v>174</v>
      </c>
      <c r="AD64" s="71" t="str">
        <f>IF(AND($J$4=Choices!$B$26,$J$23=Choices!$B$3),1,"")</f>
        <v/>
      </c>
      <c r="AE64" s="71">
        <f>IF(AND($J$4=Choices!$B$27,$Q$23=Choices!$B$3),1,"")</f>
        <v>1</v>
      </c>
      <c r="AF64" s="71" t="str">
        <f>IF(AND($J$4=Choices!$B$28,$Q$23=Choices!$B$3),1,"")</f>
        <v/>
      </c>
      <c r="AG64" s="116"/>
      <c r="AH64" s="71" t="str">
        <f>IF($E$23=Choices!$B$3,1,"")</f>
        <v/>
      </c>
      <c r="AI64" s="41"/>
      <c r="AJ64" s="39"/>
      <c r="AK64" s="39"/>
    </row>
    <row r="65" spans="1:37" ht="19.5" hidden="1">
      <c r="A65" s="39"/>
      <c r="B65" s="39"/>
      <c r="C65" s="39"/>
      <c r="D65" s="39"/>
      <c r="E65" s="39" t="s">
        <v>264</v>
      </c>
      <c r="F65" s="39" t="str">
        <f>IF($J$4=Choices!$B$26,IF(OR($J$23=Choices!$B$4,$J$23=Choices!$B$6),1,IF(AND($J$23=Choices!$B$5,$J$27=Choices!$B$9),1,"")),"")</f>
        <v/>
      </c>
      <c r="G65" s="39"/>
      <c r="H65" s="39"/>
      <c r="I65" s="39" t="s">
        <v>303</v>
      </c>
      <c r="J65" s="43">
        <f>IF($J47="",0,VLOOKUP($J47,IC!$B$26:$E$31,4,FALSE))*$K47</f>
        <v>0</v>
      </c>
      <c r="K65" s="39"/>
      <c r="L65" s="39"/>
      <c r="M65" s="39"/>
      <c r="N65" s="39"/>
      <c r="O65" s="39"/>
      <c r="P65" s="39" t="s">
        <v>93</v>
      </c>
      <c r="Q65" s="43">
        <f>IF($Q47="",0,VLOOKUP($Q47,IC!$B$40:$E$42,4,FALSE))*$R47</f>
        <v>8400000</v>
      </c>
      <c r="R65" s="39"/>
      <c r="S65" s="39"/>
      <c r="T65" s="39"/>
      <c r="U65" s="39"/>
      <c r="V65" s="39"/>
      <c r="W65" s="39" t="s">
        <v>420</v>
      </c>
      <c r="X65" s="43">
        <f>IF($X48="",0,VLOOKUP($X48,IC!$B$7:$E$14,4,FALSE))*Y48</f>
        <v>0</v>
      </c>
      <c r="Y65" s="39"/>
      <c r="Z65" s="39"/>
      <c r="AA65" s="39"/>
      <c r="AB65" s="39"/>
      <c r="AC65" s="45" t="s">
        <v>390</v>
      </c>
      <c r="AD65" s="71" t="str">
        <f>IF($J$4=Choices!$B$26,IF(OR($J$23=Choices!$B$4,$J$23=Choices!$B$6),1,IF(AND($J$23=Choices!$B$5,$J$27=Choices!$B$9),1,"")),"")</f>
        <v/>
      </c>
      <c r="AE65" s="71" t="str">
        <f>IF($J$4=Choices!$B$27,IF(OR($Q$23=Choices!$B$4,$Q$23=Choices!$B$6),1,IF(AND($Q$23=Choices!$B$5,$Q$27=Choices!$B$9),1,"")),"")</f>
        <v/>
      </c>
      <c r="AF65" s="71" t="str">
        <f>IF($J$4=Choices!$B$28,IF(OR($Q$23=Choices!$B$4,$Q$23=Choices!$B$6),1,IF(AND($Q$23=Choices!$B$5,$Q$27=Choices!$B$9),1,"")),"")</f>
        <v/>
      </c>
      <c r="AG65" s="116"/>
      <c r="AH65" s="71">
        <f>IF(OR($E$23=Choices!$B$4,$E$23=Choices!$B$6),1,IF(AND($E$23=Choices!$B$5,$E$27=Choices!$B$9),1,""))</f>
        <v>1</v>
      </c>
      <c r="AI65" s="41"/>
      <c r="AJ65" s="39"/>
      <c r="AK65" s="39"/>
    </row>
    <row r="66" spans="1:37" hidden="1">
      <c r="A66" s="39"/>
      <c r="B66" s="39"/>
      <c r="C66" s="39"/>
      <c r="D66" s="39"/>
      <c r="E66" s="39" t="s">
        <v>588</v>
      </c>
      <c r="F66" s="39" t="str">
        <f>_xlfn.IFS($AD$66=1,1,$AE$66=1,1,$AF$66=1,1,TRUE,"")</f>
        <v/>
      </c>
      <c r="G66" s="39"/>
      <c r="H66" s="39"/>
      <c r="I66" s="39" t="s">
        <v>304</v>
      </c>
      <c r="J66" s="43">
        <f>IF($J48="",0,VLOOKUP($J48,IC!$B$35:$E$37,4,FALSE))*$K48</f>
        <v>0</v>
      </c>
      <c r="K66" s="39"/>
      <c r="L66" s="39"/>
      <c r="M66" s="39"/>
      <c r="N66" s="39"/>
      <c r="O66" s="39"/>
      <c r="P66" s="39"/>
      <c r="Q66" s="39"/>
      <c r="R66" s="39"/>
      <c r="S66" s="39"/>
      <c r="T66" s="39"/>
      <c r="U66" s="39"/>
      <c r="V66" s="39"/>
      <c r="W66" s="39"/>
      <c r="X66" s="39"/>
      <c r="Y66" s="39"/>
      <c r="Z66" s="39"/>
      <c r="AA66" s="39"/>
      <c r="AB66" s="39"/>
      <c r="AC66" s="45" t="s">
        <v>601</v>
      </c>
      <c r="AD66" s="71" t="str">
        <f>IF(AND($J$4=Choices!$B$26,$J$23=Choices!$B$5,$J$27=Choices!$B$8),1,"")</f>
        <v/>
      </c>
      <c r="AE66" s="71" t="str">
        <f>IF(AND($J$4=Choices!$B$27,$Q$23=Choices!$B$5,$Q$27=Choices!$B$8),1,"")</f>
        <v/>
      </c>
      <c r="AF66" s="71" t="str">
        <f>IF(AND($J$4=Choices!$B$28,$Q$23=Choices!$B$5,$Q$27=Choices!$B$8),1,"")</f>
        <v/>
      </c>
      <c r="AG66" s="116"/>
      <c r="AH66" s="71" t="str">
        <f>IF(AND($E$23=Choices!$B$5,$E$27=Choices!$B$8),1,"")</f>
        <v/>
      </c>
      <c r="AI66" s="39"/>
      <c r="AJ66" s="39"/>
      <c r="AK66" s="39"/>
    </row>
    <row r="67" spans="1:37" hidden="1">
      <c r="A67" s="39"/>
      <c r="B67" s="39"/>
      <c r="C67" s="39"/>
      <c r="D67" s="39"/>
      <c r="E67" s="39" t="s">
        <v>636</v>
      </c>
      <c r="F67" s="39">
        <f>IF($F$60=2,_xlfn.IFS($P$55=Choices!$B$42,2,$P$55=Choices!$B$41,1,TRUE,""),"")</f>
        <v>1</v>
      </c>
      <c r="G67" s="39"/>
      <c r="H67" s="39"/>
      <c r="I67" s="39" t="s">
        <v>305</v>
      </c>
      <c r="J67" s="43">
        <f>IF($J49="",0,VLOOKUP($J49,IC!$B$40:$E$42,4,FALSE))*$K49</f>
        <v>0</v>
      </c>
      <c r="K67" s="39"/>
      <c r="L67" s="39"/>
      <c r="M67" s="39"/>
      <c r="N67" s="39"/>
      <c r="O67" s="39"/>
      <c r="P67" s="39"/>
      <c r="Q67" s="39"/>
      <c r="R67" s="39"/>
      <c r="S67" s="39"/>
      <c r="T67" s="39"/>
      <c r="U67" s="39"/>
      <c r="V67" s="39"/>
      <c r="W67" s="39" t="s">
        <v>326</v>
      </c>
      <c r="X67" s="43">
        <f>IF($X50="",0,VLOOKUP($X50,IC!$B$17:$E$23,4,FALSE))*$Y50</f>
        <v>0</v>
      </c>
      <c r="Y67" s="39"/>
      <c r="Z67" s="39"/>
      <c r="AA67" s="39"/>
      <c r="AB67" s="39"/>
      <c r="AC67" s="44" t="s">
        <v>338</v>
      </c>
      <c r="AD67" s="116"/>
      <c r="AE67" s="116"/>
      <c r="AF67" s="116"/>
      <c r="AG67" s="71" t="str">
        <f>IF($J$4=Choices!$B$29,1,"")</f>
        <v/>
      </c>
      <c r="AH67" s="116"/>
      <c r="AI67" s="39"/>
      <c r="AJ67" s="39"/>
      <c r="AK67" s="39"/>
    </row>
    <row r="68" spans="1:37" ht="19.5" hidden="1">
      <c r="A68" s="39"/>
      <c r="B68" s="39"/>
      <c r="C68" s="39"/>
      <c r="D68" s="39"/>
      <c r="E68" s="39" t="s">
        <v>255</v>
      </c>
      <c r="F68" s="39" t="str">
        <f>_xlfn.IFS($J30=Choices!$B$11,1,$J30=Choices!$B$12,2,$J30=Choices!$B$13,3,$J30=Choices!$B$14,4,$J30=Choices!$B$15,5,$J30=Choices!$B$16,6,$J30=Choices!$B$17,7,TRUE,"")</f>
        <v/>
      </c>
      <c r="G68" s="39"/>
      <c r="H68" s="39"/>
      <c r="I68" s="39" t="s">
        <v>307</v>
      </c>
      <c r="J68" s="43">
        <f>IF($J50="",0,VLOOKUP($J50,IC!$B$17:$E$23,4,FALSE))*$K50</f>
        <v>0</v>
      </c>
      <c r="K68" s="39"/>
      <c r="L68" s="39"/>
      <c r="M68" s="39"/>
      <c r="N68" s="39"/>
      <c r="O68" s="39"/>
      <c r="P68" s="39"/>
      <c r="Q68" s="39"/>
      <c r="R68" s="39"/>
      <c r="S68" s="39"/>
      <c r="T68" s="39"/>
      <c r="U68" s="39"/>
      <c r="V68" s="39"/>
      <c r="W68" s="39" t="s">
        <v>421</v>
      </c>
      <c r="X68" s="43">
        <f>IF($X51="",0,VLOOKUP($X51,IC!$B$7:$E$14,4,FALSE))*Y51</f>
        <v>0</v>
      </c>
      <c r="Y68" s="39"/>
      <c r="Z68" s="39"/>
      <c r="AA68" s="39"/>
      <c r="AB68" s="42" t="s">
        <v>359</v>
      </c>
      <c r="AC68" s="39"/>
      <c r="AD68" s="39"/>
      <c r="AE68" s="39"/>
      <c r="AF68" s="39"/>
      <c r="AG68" s="41"/>
      <c r="AH68" s="39"/>
      <c r="AI68" s="39"/>
      <c r="AJ68" s="39"/>
      <c r="AK68" s="39"/>
    </row>
    <row r="69" spans="1:37" hidden="1">
      <c r="A69" s="39"/>
      <c r="B69" s="39"/>
      <c r="C69" s="39"/>
      <c r="D69" s="39"/>
      <c r="E69" s="39" t="s">
        <v>256</v>
      </c>
      <c r="F69" s="39" t="str">
        <f>_xlfn.IFS($J31=Choices!$B$11,1,$J31=Choices!$B$12,2,$J31=Choices!$B$13,3,$J31=Choices!$B$14,4,$J31=Choices!$B$15,5,$J31=Choices!$B$16,6,$J31=Choices!$B$17,7,TRUE,"")</f>
        <v/>
      </c>
      <c r="G69" s="39"/>
      <c r="H69" s="39"/>
      <c r="I69" s="39" t="s">
        <v>308</v>
      </c>
      <c r="J69" s="43">
        <f>IF($J51="",0,VLOOKUP($J51,IC!$B$26:$E$31,4,FALSE))*$K51</f>
        <v>0</v>
      </c>
      <c r="K69" s="39"/>
      <c r="L69" s="39"/>
      <c r="M69" s="39"/>
      <c r="N69" s="39"/>
      <c r="O69" s="39"/>
      <c r="P69" s="39"/>
      <c r="Q69" s="46"/>
      <c r="R69" s="39"/>
      <c r="S69" s="39"/>
      <c r="T69" s="39"/>
      <c r="U69" s="39"/>
      <c r="V69" s="39"/>
      <c r="W69" s="39"/>
      <c r="X69" s="39"/>
      <c r="Y69" s="39"/>
      <c r="Z69" s="39"/>
      <c r="AA69" s="39"/>
      <c r="AB69" s="39"/>
      <c r="AC69" s="45"/>
      <c r="AD69" s="45" t="s">
        <v>171</v>
      </c>
      <c r="AE69" s="45" t="s">
        <v>599</v>
      </c>
      <c r="AF69" s="45" t="s">
        <v>600</v>
      </c>
      <c r="AG69" s="44" t="s">
        <v>339</v>
      </c>
      <c r="AH69" s="44" t="s">
        <v>222</v>
      </c>
      <c r="AI69" s="39"/>
      <c r="AJ69" s="39"/>
      <c r="AK69" s="39"/>
    </row>
    <row r="70" spans="1:37" hidden="1">
      <c r="A70" s="39"/>
      <c r="B70" s="39"/>
      <c r="C70" s="39"/>
      <c r="D70" s="39"/>
      <c r="E70" s="39" t="s">
        <v>257</v>
      </c>
      <c r="F70" s="39" t="str">
        <f>_xlfn.IFS($J32=Choices!$B$11,1,$J32=Choices!$B$12,2,$J32=Choices!$B$13,3,$J32=Choices!$B$14,4,$J32=Choices!$B$15,5,$J32=Choices!$B$16,6,$J32=Choices!$B$17,7,TRUE,"")</f>
        <v/>
      </c>
      <c r="G70" s="39"/>
      <c r="H70" s="39"/>
      <c r="I70" s="39" t="s">
        <v>309</v>
      </c>
      <c r="J70" s="43">
        <f>IF($J52="",0,VLOOKUP($J52,IC!$B$35:$E$37,4,FALSE))*$K52</f>
        <v>0</v>
      </c>
      <c r="K70" s="39"/>
      <c r="L70" s="39"/>
      <c r="M70" s="39"/>
      <c r="N70" s="39"/>
      <c r="O70" s="39"/>
      <c r="P70" s="39"/>
      <c r="Q70" s="39"/>
      <c r="R70" s="39"/>
      <c r="S70" s="39"/>
      <c r="T70" s="39"/>
      <c r="U70" s="39"/>
      <c r="V70" s="39"/>
      <c r="W70" s="39" t="s">
        <v>327</v>
      </c>
      <c r="X70" s="43">
        <f>IF($X53="",0,VLOOKUP($X53,IC!$B$17:$E$23,4,FALSE))*$Y53</f>
        <v>0</v>
      </c>
      <c r="Y70" s="39"/>
      <c r="Z70" s="39"/>
      <c r="AA70" s="39"/>
      <c r="AB70" s="39"/>
      <c r="AC70" s="45" t="s">
        <v>172</v>
      </c>
      <c r="AD70" s="47">
        <f>AD$84</f>
        <v>183431.33767826483</v>
      </c>
      <c r="AE70" s="47">
        <f>AE$84</f>
        <v>187225.46570089995</v>
      </c>
      <c r="AF70" s="47">
        <f>AF$84</f>
        <v>187225.46570089995</v>
      </c>
      <c r="AG70" s="116"/>
      <c r="AH70" s="47">
        <f t="shared" ref="AH70" si="0">AH$84</f>
        <v>183852.90745855751</v>
      </c>
      <c r="AI70" s="39"/>
      <c r="AJ70" s="39"/>
      <c r="AK70" s="39"/>
    </row>
    <row r="71" spans="1:37" ht="19.5" hidden="1" thickBot="1">
      <c r="A71" s="39"/>
      <c r="B71" s="39"/>
      <c r="C71" s="39"/>
      <c r="D71" s="39"/>
      <c r="E71" s="39" t="s">
        <v>258</v>
      </c>
      <c r="F71" s="39" t="str">
        <f>_xlfn.IFS($J33=Choices!$B$11,1,$J33=Choices!$B$12,2,$J33=Choices!$B$13,3,$J33=Choices!$B$14,4,$J33=Choices!$B$15,5,$J33=Choices!$B$16,6,$J33=Choices!$B$17,7,TRUE,"")</f>
        <v/>
      </c>
      <c r="G71" s="39"/>
      <c r="H71" s="39"/>
      <c r="I71" s="39" t="s">
        <v>310</v>
      </c>
      <c r="J71" s="43">
        <f>IF($J53="",0,VLOOKUP($J53,IC!$B$40:$E$42,4,FALSE))*$K53</f>
        <v>0</v>
      </c>
      <c r="K71" s="39"/>
      <c r="L71" s="39"/>
      <c r="M71" s="39"/>
      <c r="N71" s="39"/>
      <c r="O71" s="39"/>
      <c r="P71" s="39"/>
      <c r="Q71" s="39"/>
      <c r="R71" s="39"/>
      <c r="S71" s="39"/>
      <c r="T71" s="39"/>
      <c r="U71" s="39"/>
      <c r="V71" s="39"/>
      <c r="W71" s="39" t="s">
        <v>422</v>
      </c>
      <c r="X71" s="43">
        <f>IF($X54="",0,VLOOKUP($X54,IC!$B$7:$E$14,4,FALSE))*Y54</f>
        <v>0</v>
      </c>
      <c r="Y71" s="39"/>
      <c r="Z71" s="39"/>
      <c r="AA71" s="39"/>
      <c r="AB71" s="39"/>
      <c r="AC71" s="45" t="s">
        <v>173</v>
      </c>
      <c r="AD71" s="47">
        <f>AD$92</f>
        <v>20246.178535711457</v>
      </c>
      <c r="AE71" s="47">
        <f>AE$92</f>
        <v>25990.064204393493</v>
      </c>
      <c r="AF71" s="47">
        <f>AF$92</f>
        <v>25990.064204393493</v>
      </c>
      <c r="AG71" s="116"/>
      <c r="AH71" s="47">
        <f>AH$92</f>
        <v>20884.388054453899</v>
      </c>
      <c r="AI71" s="39"/>
      <c r="AJ71" s="39"/>
      <c r="AK71" s="39"/>
    </row>
    <row r="72" spans="1:37" ht="19.5" hidden="1" thickBot="1">
      <c r="A72" s="39"/>
      <c r="B72" s="39"/>
      <c r="C72" s="39"/>
      <c r="D72" s="39"/>
      <c r="E72" s="39" t="s">
        <v>259</v>
      </c>
      <c r="F72" s="39" t="str">
        <f>_xlfn.IFS($J34=Choices!$B$19,1,$J34=Choices!$B$20,2,$J34=Choices!$B$21,3,$J34=Choices!$B$22,4,$J34=Choices!$B$23,5,TRUE,"")</f>
        <v/>
      </c>
      <c r="G72" s="39"/>
      <c r="H72" s="39"/>
      <c r="I72" s="39" t="s">
        <v>176</v>
      </c>
      <c r="J72" s="48">
        <f>SUM(J60:J71)</f>
        <v>0</v>
      </c>
      <c r="K72" s="39" t="s">
        <v>87</v>
      </c>
      <c r="L72" s="39"/>
      <c r="M72" s="39"/>
      <c r="N72" s="39"/>
      <c r="O72" s="39"/>
      <c r="P72" s="39" t="s">
        <v>176</v>
      </c>
      <c r="Q72" s="48">
        <f>SUM(Q60:Q69)</f>
        <v>66600000</v>
      </c>
      <c r="R72" s="39" t="s">
        <v>87</v>
      </c>
      <c r="S72" s="39"/>
      <c r="T72" s="39"/>
      <c r="U72" s="39"/>
      <c r="V72" s="39"/>
      <c r="W72" s="39" t="s">
        <v>176</v>
      </c>
      <c r="X72" s="48">
        <f>SUM(X60:X71)</f>
        <v>0</v>
      </c>
      <c r="Y72" s="39" t="s">
        <v>87</v>
      </c>
      <c r="Z72" s="39"/>
      <c r="AA72" s="39"/>
      <c r="AB72" s="39"/>
      <c r="AC72" s="45" t="s">
        <v>174</v>
      </c>
      <c r="AD72" s="47">
        <f>AD$87</f>
        <v>17199.792755110502</v>
      </c>
      <c r="AE72" s="47">
        <f>AE$87</f>
        <v>36382.654631738886</v>
      </c>
      <c r="AF72" s="47">
        <f>AF$87</f>
        <v>38959.780029550311</v>
      </c>
      <c r="AG72" s="116"/>
      <c r="AH72" s="47">
        <f>AH$87</f>
        <v>17835.040608240197</v>
      </c>
      <c r="AI72" s="39"/>
      <c r="AJ72" s="39"/>
      <c r="AK72" s="39"/>
    </row>
    <row r="73" spans="1:37" ht="19.5" hidden="1" thickBot="1">
      <c r="A73" s="39"/>
      <c r="B73" s="39"/>
      <c r="C73" s="39"/>
      <c r="D73" s="39"/>
      <c r="E73" s="39" t="s">
        <v>260</v>
      </c>
      <c r="F73" s="39" t="str">
        <f>_xlfn.IFS($J35=Choices!$B$19,1,$J35=Choices!$B$20,2,$J35=Choices!$B$21,3,$J35=Choices!$B$22,4,$J35=Choices!$B$23,5,TRUE,"")</f>
        <v/>
      </c>
      <c r="G73" s="39"/>
      <c r="H73" s="39"/>
      <c r="I73" s="39" t="s">
        <v>176</v>
      </c>
      <c r="J73" s="48">
        <f>J$72/1000</f>
        <v>0</v>
      </c>
      <c r="K73" s="39" t="s">
        <v>181</v>
      </c>
      <c r="L73" s="39"/>
      <c r="M73" s="39"/>
      <c r="N73" s="39"/>
      <c r="O73" s="39"/>
      <c r="P73" s="39" t="s">
        <v>176</v>
      </c>
      <c r="Q73" s="48">
        <f>Q$72/1000</f>
        <v>66600</v>
      </c>
      <c r="R73" s="39" t="s">
        <v>181</v>
      </c>
      <c r="S73" s="39"/>
      <c r="T73" s="39"/>
      <c r="U73" s="39"/>
      <c r="V73" s="39"/>
      <c r="W73" s="39" t="s">
        <v>176</v>
      </c>
      <c r="X73" s="48">
        <f>X$72/1000</f>
        <v>0</v>
      </c>
      <c r="Y73" s="39" t="s">
        <v>181</v>
      </c>
      <c r="Z73" s="39"/>
      <c r="AA73" s="39"/>
      <c r="AB73" s="39"/>
      <c r="AC73" s="45" t="s">
        <v>390</v>
      </c>
      <c r="AD73" s="47">
        <f>AD$104</f>
        <v>-430.65865846435747</v>
      </c>
      <c r="AE73" s="47">
        <f>AE$104</f>
        <v>3226.336311250881</v>
      </c>
      <c r="AF73" s="47">
        <f t="shared" ref="AF73" si="1">AF$104</f>
        <v>3226.336311250881</v>
      </c>
      <c r="AG73" s="116"/>
      <c r="AH73" s="47">
        <f>AH$104</f>
        <v>2019.8859732041299</v>
      </c>
      <c r="AI73" s="39"/>
      <c r="AJ73" s="39"/>
      <c r="AK73" s="39"/>
    </row>
    <row r="74" spans="1:37" hidden="1">
      <c r="A74" s="39"/>
      <c r="B74" s="39"/>
      <c r="C74" s="39"/>
      <c r="D74" s="39"/>
      <c r="E74" s="39" t="s">
        <v>261</v>
      </c>
      <c r="F74" s="39" t="str">
        <f>_xlfn.IFS($J36=Choices!$B$19,1,$J36=Choices!$B$20,2,$J36=Choices!$B$21,3,$J36=Choices!$B$22,4,$J36=Choices!$B$23,5,TRUE,"")</f>
        <v/>
      </c>
      <c r="G74" s="39"/>
      <c r="H74" s="39"/>
      <c r="I74" s="39"/>
      <c r="J74" s="46"/>
      <c r="K74" s="39"/>
      <c r="L74" s="39"/>
      <c r="M74" s="39"/>
      <c r="N74" s="39"/>
      <c r="O74" s="39"/>
      <c r="P74" s="39"/>
      <c r="Q74" s="46"/>
      <c r="R74" s="39"/>
      <c r="S74" s="39"/>
      <c r="T74" s="39"/>
      <c r="U74" s="39"/>
      <c r="V74" s="39"/>
      <c r="W74" s="39"/>
      <c r="X74" s="46"/>
      <c r="Y74" s="39"/>
      <c r="Z74" s="39"/>
      <c r="AA74" s="39"/>
      <c r="AB74" s="39"/>
      <c r="AC74" s="44" t="s">
        <v>338</v>
      </c>
      <c r="AD74" s="116"/>
      <c r="AE74" s="116"/>
      <c r="AF74" s="116"/>
      <c r="AG74" s="47">
        <f>$AG$109</f>
        <v>0</v>
      </c>
      <c r="AH74" s="116"/>
      <c r="AI74" s="39"/>
      <c r="AJ74" s="39"/>
      <c r="AK74" s="39"/>
    </row>
    <row r="75" spans="1:37" hidden="1">
      <c r="A75" s="39"/>
      <c r="B75" s="39"/>
      <c r="C75" s="39"/>
      <c r="D75" s="39"/>
      <c r="E75" s="39" t="s">
        <v>262</v>
      </c>
      <c r="F75" s="39" t="str">
        <f>_xlfn.IFS($J37=Choices!$B$19,1,$J37=Choices!$B$20,2,$J37=Choices!$B$21,3,$J37=Choices!$B$22,4,$J37=Choices!$B$23,5,TRUE,"")</f>
        <v/>
      </c>
      <c r="G75" s="39"/>
      <c r="H75" s="39"/>
      <c r="I75" s="39"/>
      <c r="J75" s="46"/>
      <c r="K75" s="39"/>
      <c r="L75" s="39"/>
      <c r="M75" s="39"/>
      <c r="N75" s="39"/>
      <c r="O75" s="39"/>
      <c r="P75" s="39"/>
      <c r="Q75" s="46"/>
      <c r="R75" s="39"/>
      <c r="S75" s="39"/>
      <c r="T75" s="39"/>
      <c r="U75" s="39"/>
      <c r="V75" s="39"/>
      <c r="W75" s="39"/>
      <c r="X75" s="46"/>
      <c r="Y75" s="39"/>
      <c r="Z75" s="39"/>
      <c r="AA75" s="39"/>
      <c r="AB75" s="39"/>
      <c r="AC75" s="90"/>
      <c r="AD75" s="91"/>
      <c r="AE75" s="91"/>
      <c r="AF75" s="91"/>
      <c r="AG75" s="39"/>
      <c r="AH75" s="91"/>
      <c r="AI75" s="39"/>
      <c r="AJ75" s="39"/>
      <c r="AK75" s="39"/>
    </row>
    <row r="76" spans="1:37" hidden="1">
      <c r="A76" s="39"/>
      <c r="B76" s="39"/>
      <c r="C76" s="39"/>
      <c r="D76" s="39"/>
      <c r="E76" s="39" t="s">
        <v>591</v>
      </c>
      <c r="F76" s="39" t="str">
        <f>IF($AH$66=1,1,"")</f>
        <v/>
      </c>
      <c r="G76" s="39"/>
      <c r="H76" s="39"/>
      <c r="I76" s="39"/>
      <c r="J76" s="46"/>
      <c r="K76" s="39"/>
      <c r="L76" s="39"/>
      <c r="M76" s="39"/>
      <c r="N76" s="39"/>
      <c r="O76" s="39"/>
      <c r="P76" s="39"/>
      <c r="Q76" s="46"/>
      <c r="R76" s="39"/>
      <c r="S76" s="39"/>
      <c r="T76" s="39"/>
      <c r="U76" s="39"/>
      <c r="V76" s="39"/>
      <c r="W76" s="39"/>
      <c r="X76" s="46"/>
      <c r="Y76" s="39"/>
      <c r="Z76" s="39"/>
      <c r="AA76" s="39"/>
      <c r="AB76" s="42" t="s">
        <v>360</v>
      </c>
      <c r="AC76" s="90"/>
      <c r="AD76" s="91"/>
      <c r="AE76" s="91"/>
      <c r="AF76" s="91"/>
      <c r="AG76" s="39"/>
      <c r="AH76" s="91"/>
      <c r="AI76" s="39"/>
      <c r="AJ76" s="39"/>
      <c r="AK76" s="39"/>
    </row>
    <row r="77" spans="1:37" ht="51.75" hidden="1" customHeight="1">
      <c r="A77" s="39"/>
      <c r="B77" s="39"/>
      <c r="C77" s="39"/>
      <c r="D77" s="42" t="s">
        <v>356</v>
      </c>
      <c r="E77" s="39"/>
      <c r="F77" s="39"/>
      <c r="G77" s="39"/>
      <c r="H77" s="39"/>
      <c r="I77" s="39"/>
      <c r="J77" s="39"/>
      <c r="K77" s="39"/>
      <c r="L77" s="39"/>
      <c r="M77" s="39"/>
      <c r="N77" s="39"/>
      <c r="O77" s="39"/>
      <c r="P77" s="39"/>
      <c r="Q77" s="39"/>
      <c r="R77" s="39"/>
      <c r="S77" s="39"/>
      <c r="T77" s="39"/>
      <c r="U77" s="39"/>
      <c r="V77" s="39"/>
      <c r="W77" s="39"/>
      <c r="X77" s="39"/>
      <c r="Y77" s="39"/>
      <c r="Z77" s="39"/>
      <c r="AA77" s="39"/>
      <c r="AB77" s="49"/>
      <c r="AC77" s="49"/>
      <c r="AD77" s="50" t="s">
        <v>75</v>
      </c>
      <c r="AE77" s="51" t="s">
        <v>571</v>
      </c>
      <c r="AF77" s="51" t="s">
        <v>572</v>
      </c>
      <c r="AG77" s="49"/>
      <c r="AH77" s="51" t="s">
        <v>223</v>
      </c>
      <c r="AI77" s="51" t="s">
        <v>573</v>
      </c>
      <c r="AJ77" s="39"/>
      <c r="AK77" s="39"/>
    </row>
    <row r="78" spans="1:37" hidden="1">
      <c r="A78" s="39"/>
      <c r="B78" s="39"/>
      <c r="C78" s="39"/>
      <c r="D78" s="39" t="s">
        <v>589</v>
      </c>
      <c r="E78" s="39"/>
      <c r="F78" s="39"/>
      <c r="G78" s="39"/>
      <c r="H78" s="39"/>
      <c r="I78" s="39"/>
      <c r="J78" s="39"/>
      <c r="K78" s="39"/>
      <c r="L78" s="39"/>
      <c r="M78" s="39"/>
      <c r="N78" s="39"/>
      <c r="O78" s="39"/>
      <c r="P78" s="39"/>
      <c r="Q78" s="39"/>
      <c r="R78" s="39"/>
      <c r="S78" s="39"/>
      <c r="T78" s="39"/>
      <c r="U78" s="39"/>
      <c r="V78" s="39"/>
      <c r="W78" s="39"/>
      <c r="X78" s="39"/>
      <c r="Y78" s="39"/>
      <c r="Z78" s="39"/>
      <c r="AA78" s="39"/>
      <c r="AB78" s="40" t="s">
        <v>247</v>
      </c>
      <c r="AC78" s="39"/>
      <c r="AD78" s="39"/>
      <c r="AE78" s="39"/>
      <c r="AF78" s="39"/>
      <c r="AG78" s="39"/>
      <c r="AH78" s="39"/>
      <c r="AI78" s="39"/>
      <c r="AJ78" s="39"/>
      <c r="AK78" s="39"/>
    </row>
    <row r="79" spans="1:37" hidden="1">
      <c r="A79" s="39"/>
      <c r="B79" s="39"/>
      <c r="C79" s="39"/>
      <c r="D79" s="39"/>
      <c r="E79" s="39" t="s">
        <v>371</v>
      </c>
      <c r="F79" s="39"/>
      <c r="G79" s="39"/>
      <c r="H79" s="39"/>
      <c r="I79" s="39"/>
      <c r="J79" s="39"/>
      <c r="K79" s="39"/>
      <c r="L79" s="39"/>
      <c r="M79" s="39"/>
      <c r="N79" s="39"/>
      <c r="O79" s="39"/>
      <c r="P79" s="39"/>
      <c r="Q79" s="39"/>
      <c r="R79" s="39"/>
      <c r="S79" s="39"/>
      <c r="T79" s="39"/>
      <c r="U79" s="39"/>
      <c r="V79" s="39"/>
      <c r="W79" s="39"/>
      <c r="X79" s="39"/>
      <c r="Y79" s="39"/>
      <c r="Z79" s="39"/>
      <c r="AA79" s="39"/>
      <c r="AB79" s="39"/>
      <c r="AC79" s="39" t="s">
        <v>19</v>
      </c>
      <c r="AD79" s="44">
        <f>IF(OR($J$34=Choices!$B$21,$J$35=Choices!$B$21,$J$36=Choices!$B$21,$J$37=Choices!$B$21),1,0)</f>
        <v>0</v>
      </c>
      <c r="AE79" s="44">
        <f>IF($Q$51=Choices!$B$36,IF(OR($E$34=Choices!$B$21,$E$35=Choices!$B$21,$E$36=Choices!$B$21,$E$37=Choices!$B$21,$Q$34=Choices!$B$21,$Q$35=Choices!$B$21,$Q$36=Choices!$B$21,$Q$37=Choices!$B$21),1,0),IF(OR($Q$34=Choices!$B$21,$Q$35=Choices!$B$21,$Q$36=Choices!$B$21,$Q$37=Choices!$B$21),1,0))</f>
        <v>0</v>
      </c>
      <c r="AF79" s="44">
        <f>IF(OR($E$34=Choices!$B$21,$E$35=Choices!$B$21,$E$36=Choices!$B$21,$E$37=Choices!$B$21,$Q$34=Choices!$B$21,$Q$35=Choices!$B$21,$Q$36=Choices!$B$21,$Q$37=Choices!$B$21),1,0)</f>
        <v>0</v>
      </c>
      <c r="AG79" s="44"/>
      <c r="AH79" s="44">
        <f>IF(OR($E$34=Choices!$B$21,$E$35=Choices!$B$21,$E$36=Choices!$B$21,$E$37=Choices!$B$21),1,0)</f>
        <v>0</v>
      </c>
      <c r="AI79" s="44">
        <f>IF(OR($Q$34=Choices!$B$21,$Q$35=Choices!$B$21,$Q$36=Choices!$B$21,$Q$37=Choices!$B$21),1,0)</f>
        <v>0</v>
      </c>
      <c r="AJ79" s="39"/>
      <c r="AK79" s="39"/>
    </row>
    <row r="80" spans="1:37" hidden="1">
      <c r="A80" s="39"/>
      <c r="B80" s="39"/>
      <c r="C80" s="39"/>
      <c r="D80" s="39"/>
      <c r="E80" s="39" t="s">
        <v>372</v>
      </c>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row>
    <row r="81" spans="1:37" hidden="1">
      <c r="A81" s="39"/>
      <c r="B81" s="39"/>
      <c r="C81" s="39"/>
      <c r="D81" s="39"/>
      <c r="E81" s="39" t="s">
        <v>361</v>
      </c>
      <c r="F81" s="39"/>
      <c r="G81" s="39"/>
      <c r="H81" s="39"/>
      <c r="I81" s="39"/>
      <c r="J81" s="39"/>
      <c r="K81" s="39"/>
      <c r="L81" s="39"/>
      <c r="M81" s="39"/>
      <c r="N81" s="39"/>
      <c r="O81" s="39"/>
      <c r="P81" s="39"/>
      <c r="Q81" s="39"/>
      <c r="R81" s="39"/>
      <c r="S81" s="39"/>
      <c r="T81" s="39"/>
      <c r="U81" s="39"/>
      <c r="V81" s="39"/>
      <c r="W81" s="39"/>
      <c r="X81" s="39"/>
      <c r="Y81" s="39"/>
      <c r="Z81" s="39"/>
      <c r="AA81" s="39"/>
      <c r="AB81" s="39"/>
      <c r="AC81" s="39" t="s">
        <v>34</v>
      </c>
      <c r="AD81" s="44">
        <f>$J$25</f>
        <v>0</v>
      </c>
      <c r="AE81" s="44">
        <f>$E$25+$Q$25</f>
        <v>450</v>
      </c>
      <c r="AF81" s="44">
        <f>$E$25+$Q$25</f>
        <v>450</v>
      </c>
      <c r="AG81" s="44"/>
      <c r="AH81" s="44">
        <f>$E$25</f>
        <v>50</v>
      </c>
      <c r="AI81" s="44">
        <f>$Q$25</f>
        <v>400</v>
      </c>
      <c r="AJ81" s="39"/>
      <c r="AK81" s="39"/>
    </row>
    <row r="82" spans="1:37" hidden="1">
      <c r="A82" s="39"/>
      <c r="B82" s="39"/>
      <c r="C82" s="39"/>
      <c r="D82" s="39"/>
      <c r="E82" s="39" t="s">
        <v>363</v>
      </c>
      <c r="F82" s="39"/>
      <c r="G82" s="39"/>
      <c r="H82" s="39"/>
      <c r="I82" s="39"/>
      <c r="J82" s="39"/>
      <c r="K82" s="39"/>
      <c r="L82" s="39"/>
      <c r="M82" s="39"/>
      <c r="N82" s="39"/>
      <c r="O82" s="39"/>
      <c r="P82" s="39"/>
      <c r="Q82" s="39"/>
      <c r="R82" s="39"/>
      <c r="S82" s="39"/>
      <c r="T82" s="39"/>
      <c r="U82" s="39"/>
      <c r="V82" s="39"/>
      <c r="W82" s="39"/>
      <c r="X82" s="39"/>
      <c r="Y82" s="39"/>
      <c r="Z82" s="39"/>
      <c r="AA82" s="39"/>
      <c r="AB82" s="39"/>
      <c r="AC82" s="39" t="s">
        <v>37</v>
      </c>
      <c r="AD82" s="44">
        <f>IF(OR($J$34=Choices!$B$21,$J$35=Choices!$B$21,$J$36=Choices!$B$21,$J$37=Choices!$B$21),1,0)</f>
        <v>0</v>
      </c>
      <c r="AE82" s="44">
        <f>IF($Q$51=Choices!$B$36,IF(OR($E$34=Choices!$B$21,$E$35=Choices!$B$21,$E$36=Choices!$B$21,$E$37=Choices!$B$21,$Q$34=Choices!$B$21,$Q$35=Choices!$B$21,$Q$36=Choices!$B$21,$Q$37=Choices!$B$21),1,0),IF(OR($Q$34=Choices!$B$21,$Q$35=Choices!$B$21,$Q$36=Choices!$B$21,$Q$37=Choices!$B$21),1,0))</f>
        <v>0</v>
      </c>
      <c r="AF82" s="44">
        <f>IF(OR($E$34=Choices!$B$21,$E$35=Choices!$B$21,$E$36=Choices!$B$21,$E$37=Choices!$B$21,$Q$34=Choices!$B$21,$Q$35=Choices!$B$21,$Q$36=Choices!$B$21,$Q$37=Choices!$B$21),1,0)</f>
        <v>0</v>
      </c>
      <c r="AG82" s="44"/>
      <c r="AH82" s="44">
        <f>IF(OR($E$34=Choices!$B$21,$E$35=Choices!$B$21,$E$36=Choices!$B$21,$E$37=Choices!$B$21),1,0)</f>
        <v>0</v>
      </c>
      <c r="AI82" s="44">
        <f>IF(OR($Q$34=Choices!$B$21,$Q$35=Choices!$B$21,$Q$36=Choices!$B$21,$Q$37=Choices!$B$21),1,0)</f>
        <v>0</v>
      </c>
      <c r="AJ82" s="39"/>
      <c r="AK82" s="39"/>
    </row>
    <row r="83" spans="1:37" hidden="1">
      <c r="A83" s="39"/>
      <c r="B83" s="39"/>
      <c r="C83" s="39"/>
      <c r="D83" s="39"/>
      <c r="E83" s="39" t="s">
        <v>362</v>
      </c>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row>
    <row r="84" spans="1:37" hidden="1">
      <c r="A84" s="39"/>
      <c r="B84" s="39"/>
      <c r="C84" s="39"/>
      <c r="D84" s="39"/>
      <c r="E84" s="39" t="s">
        <v>590</v>
      </c>
      <c r="F84" s="39"/>
      <c r="G84" s="39"/>
      <c r="H84" s="39"/>
      <c r="I84" s="39"/>
      <c r="J84" s="39"/>
      <c r="K84" s="39"/>
      <c r="L84" s="39"/>
      <c r="M84" s="39"/>
      <c r="N84" s="39"/>
      <c r="O84" s="39"/>
      <c r="P84" s="39"/>
      <c r="Q84" s="39"/>
      <c r="R84" s="39"/>
      <c r="S84" s="39"/>
      <c r="T84" s="39"/>
      <c r="U84" s="39"/>
      <c r="V84" s="39"/>
      <c r="W84" s="39"/>
      <c r="X84" s="39"/>
      <c r="Y84" s="39"/>
      <c r="Z84" s="39"/>
      <c r="AA84" s="39"/>
      <c r="AB84" s="39"/>
      <c r="AC84" s="39" t="s">
        <v>169</v>
      </c>
      <c r="AD84" s="52">
        <f>IF(AD81="","",((AD81-'RC'!$I$6)/'RC'!$J$6*'RC'!$K$6+AD82*'RC'!$K$7+'RC'!$K$8)*'RC'!$J$8+'RC'!$I$8)</f>
        <v>183431.33767826483</v>
      </c>
      <c r="AE84" s="52">
        <f>IF(AE81="","",((AE81-'RC'!$I$6)/'RC'!$J$6*'RC'!$K$6+AE82*'RC'!$K$7+'RC'!$K$8)*'RC'!$J$8+'RC'!$I$8)</f>
        <v>187225.46570089995</v>
      </c>
      <c r="AF84" s="52">
        <f>IF(AF81="","",((AF81-'RC'!$I$6)/'RC'!$J$6*'RC'!$K$6+AF82*'RC'!$K$7+'RC'!$K$8)*'RC'!$J$8+'RC'!$I$8)</f>
        <v>187225.46570089995</v>
      </c>
      <c r="AG84" s="52"/>
      <c r="AH84" s="52">
        <f>IF(AH81="","",((AH81-'RC'!$I$6)/'RC'!$J$6*'RC'!$K$6+AH82*'RC'!$K$7+'RC'!$K$8)*'RC'!$J$8+'RC'!$I$8)</f>
        <v>183852.90745855751</v>
      </c>
      <c r="AI84" s="52">
        <f>IF(AI81="","",((AI81-'RC'!$I$6)/'RC'!$J$6*'RC'!$K$6+AI82*'RC'!$K$7+'RC'!$K$8)*'RC'!$J$8+'RC'!$I$8)</f>
        <v>186803.89592060714</v>
      </c>
      <c r="AJ84" s="39"/>
      <c r="AK84" s="39"/>
    </row>
    <row r="85" spans="1:37" hidden="1">
      <c r="A85" s="39"/>
      <c r="B85" s="39"/>
      <c r="C85" s="39"/>
      <c r="D85" s="39"/>
      <c r="E85" s="39" t="s">
        <v>650</v>
      </c>
      <c r="F85" s="39"/>
      <c r="G85" s="39"/>
      <c r="H85" s="39"/>
      <c r="I85" s="39"/>
      <c r="J85" s="39"/>
      <c r="K85" s="39"/>
      <c r="L85" s="39"/>
      <c r="M85" s="39"/>
      <c r="N85" s="39"/>
      <c r="O85" s="39"/>
      <c r="P85" s="39"/>
      <c r="Q85" s="39"/>
      <c r="R85" s="39"/>
      <c r="S85" s="39"/>
      <c r="T85" s="39"/>
      <c r="U85" s="39"/>
      <c r="V85" s="39"/>
      <c r="W85" s="39"/>
      <c r="X85" s="39"/>
      <c r="Y85" s="39"/>
      <c r="Z85" s="39"/>
      <c r="AA85" s="39"/>
      <c r="AB85" s="49"/>
      <c r="AC85" s="49"/>
      <c r="AD85" s="49"/>
      <c r="AE85" s="49"/>
      <c r="AF85" s="49"/>
      <c r="AG85" s="49"/>
      <c r="AH85" s="49"/>
      <c r="AI85" s="49"/>
      <c r="AJ85" s="39"/>
      <c r="AK85" s="39"/>
    </row>
    <row r="86" spans="1:37" hidden="1">
      <c r="A86" s="39"/>
      <c r="B86" s="39"/>
      <c r="C86" s="39"/>
      <c r="D86" s="39"/>
      <c r="E86" s="39" t="s">
        <v>649</v>
      </c>
      <c r="F86" s="39"/>
      <c r="G86" s="39"/>
      <c r="H86" s="39"/>
      <c r="I86" s="39"/>
      <c r="J86" s="39"/>
      <c r="K86" s="39"/>
      <c r="L86" s="39"/>
      <c r="M86" s="39"/>
      <c r="N86" s="39"/>
      <c r="O86" s="39"/>
      <c r="P86" s="39"/>
      <c r="Q86" s="39"/>
      <c r="R86" s="39"/>
      <c r="S86" s="39"/>
      <c r="T86" s="39"/>
      <c r="U86" s="39"/>
      <c r="V86" s="39"/>
      <c r="W86" s="39"/>
      <c r="X86" s="39"/>
      <c r="Y86" s="39"/>
      <c r="Z86" s="39"/>
      <c r="AA86" s="39"/>
      <c r="AB86" s="40" t="s">
        <v>246</v>
      </c>
      <c r="AC86" s="39"/>
      <c r="AD86" s="39"/>
      <c r="AE86" s="39"/>
      <c r="AF86" s="39"/>
      <c r="AG86" s="39"/>
      <c r="AH86" s="39"/>
      <c r="AI86" s="39"/>
      <c r="AJ86" s="39"/>
      <c r="AK86" s="39"/>
    </row>
    <row r="87" spans="1:37" hidden="1">
      <c r="A87" s="39"/>
      <c r="B87" s="39"/>
      <c r="C87" s="39"/>
      <c r="D87" s="39"/>
      <c r="E87" s="39" t="s">
        <v>602</v>
      </c>
      <c r="F87" s="39"/>
      <c r="G87" s="39"/>
      <c r="H87" s="39"/>
      <c r="I87" s="39"/>
      <c r="J87" s="39"/>
      <c r="K87" s="39"/>
      <c r="L87" s="39"/>
      <c r="M87" s="39"/>
      <c r="N87" s="39"/>
      <c r="O87" s="39"/>
      <c r="P87" s="39"/>
      <c r="Q87" s="39"/>
      <c r="R87" s="39"/>
      <c r="S87" s="39"/>
      <c r="T87" s="39"/>
      <c r="U87" s="39"/>
      <c r="V87" s="39"/>
      <c r="W87" s="39"/>
      <c r="X87" s="39"/>
      <c r="Y87" s="39"/>
      <c r="Z87" s="39"/>
      <c r="AA87" s="39"/>
      <c r="AB87" s="39"/>
      <c r="AC87" s="39" t="s">
        <v>169</v>
      </c>
      <c r="AD87" s="52">
        <f>IF(AD95="","",((AD95-'RC'!$I$19)/'RC'!$J$19*'RC'!$K$19+(AD96-'RC'!$I$20)/'RC'!$J$20*'RC'!$K$20+AD97*'RC'!$K$21+AD98*'RC'!$K$22+AD79*'RC'!$K$23+'RC'!$K$24)*'RC'!$J$24+'RC'!$I$24)</f>
        <v>17199.792755110502</v>
      </c>
      <c r="AE87" s="52">
        <f>IF(AE95="","",((AE95-'RC'!$I$19)/'RC'!$J$19*'RC'!$K$19+(AE96-'RC'!$I$20)/'RC'!$J$20*'RC'!$K$20+AE97*'RC'!$K$21+AE98*'RC'!$K$22+AE79*'RC'!$K$23+'RC'!$K$24)*'RC'!$J$24+'RC'!$I$24)</f>
        <v>36382.654631738886</v>
      </c>
      <c r="AF87" s="52">
        <f>IF(AF95="","",((AF95-'RC'!$I$19)/'RC'!$J$19*'RC'!$K$19+(AF96-'RC'!$I$20)/'RC'!$J$20*'RC'!$K$20+AF97*'RC'!$K$21+AF98*'RC'!$K$22+AF79*'RC'!$K$23+'RC'!$K$24)*'RC'!$J$24+'RC'!$I$24)</f>
        <v>38959.780029550311</v>
      </c>
      <c r="AG87" s="52"/>
      <c r="AH87" s="52">
        <f>IF(AH95="","",((AH95-'RC'!$I$19)/'RC'!$J$19*'RC'!$K$19+(AH96-'RC'!$I$20)/'RC'!$J$20*'RC'!$K$20+AH97*'RC'!$K$21+AH98*'RC'!$K$22+AH79*'RC'!$K$23+'RC'!$K$24)*'RC'!$J$24+'RC'!$I$24)</f>
        <v>17835.040608240197</v>
      </c>
      <c r="AI87" s="52">
        <f>IF(AI95="","",((AI95-'RC'!$I$19)/'RC'!$J$19*'RC'!$K$19+(AI96-'RC'!$I$20)/'RC'!$J$20*'RC'!$K$20+AI97*'RC'!$K$21+AI98*'RC'!$K$22+AI79*'RC'!$K$23+'RC'!$K$24)*'RC'!$J$24+'RC'!$I$24)</f>
        <v>35747.406778609198</v>
      </c>
      <c r="AJ87" s="39"/>
      <c r="AK87" s="39"/>
    </row>
    <row r="88" spans="1:37" hidden="1">
      <c r="A88" s="39"/>
      <c r="B88" s="39"/>
      <c r="C88" s="39"/>
      <c r="D88" s="39" t="s">
        <v>585</v>
      </c>
      <c r="E88" s="39"/>
      <c r="F88" s="39"/>
      <c r="G88" s="39"/>
      <c r="H88" s="39"/>
      <c r="I88" s="39"/>
      <c r="J88" s="39"/>
      <c r="K88" s="39"/>
      <c r="L88" s="39"/>
      <c r="M88" s="39"/>
      <c r="N88" s="39"/>
      <c r="O88" s="39"/>
      <c r="P88" s="39"/>
      <c r="Q88" s="39"/>
      <c r="R88" s="39"/>
      <c r="S88" s="39"/>
      <c r="T88" s="39"/>
      <c r="U88" s="39"/>
      <c r="V88" s="39"/>
      <c r="W88" s="39"/>
      <c r="X88" s="39"/>
      <c r="Y88" s="39"/>
      <c r="Z88" s="39"/>
      <c r="AA88" s="39"/>
      <c r="AB88" s="40"/>
      <c r="AC88" s="39" t="s">
        <v>34</v>
      </c>
      <c r="AD88" s="44">
        <f>$J$25</f>
        <v>0</v>
      </c>
      <c r="AE88" s="44">
        <f>$E$25+$Q$25</f>
        <v>450</v>
      </c>
      <c r="AF88" s="44">
        <f>$E$25+$Q$25</f>
        <v>450</v>
      </c>
      <c r="AG88" s="44"/>
      <c r="AH88" s="44">
        <f>$E$25</f>
        <v>50</v>
      </c>
      <c r="AI88" s="44">
        <f>$Q$25</f>
        <v>400</v>
      </c>
      <c r="AJ88" s="39"/>
      <c r="AK88" s="39"/>
    </row>
    <row r="89" spans="1:37" hidden="1">
      <c r="A89" s="39"/>
      <c r="B89" s="39"/>
      <c r="C89" s="39"/>
      <c r="D89" s="39"/>
      <c r="E89" s="39" t="s">
        <v>364</v>
      </c>
      <c r="F89" s="39"/>
      <c r="G89" s="39"/>
      <c r="H89" s="39"/>
      <c r="I89" s="39"/>
      <c r="J89" s="39"/>
      <c r="K89" s="39"/>
      <c r="L89" s="39"/>
      <c r="M89" s="39"/>
      <c r="N89" s="39"/>
      <c r="O89" s="39"/>
      <c r="P89" s="39"/>
      <c r="Q89" s="39"/>
      <c r="R89" s="39"/>
      <c r="S89" s="39"/>
      <c r="T89" s="39"/>
      <c r="U89" s="39"/>
      <c r="V89" s="39"/>
      <c r="W89" s="39"/>
      <c r="X89" s="39"/>
      <c r="Y89" s="39"/>
      <c r="Z89" s="39"/>
      <c r="AA89" s="39"/>
      <c r="AB89" s="39"/>
      <c r="AC89" s="39" t="s">
        <v>35</v>
      </c>
      <c r="AD89" s="44">
        <f>IF(OR($J$30=Choices!$B$17,$J$31=Choices!$B$17,$J$32=Choices!$B$17,$J$33=Choices!$B$17),1,0)</f>
        <v>0</v>
      </c>
      <c r="AE89" s="44">
        <f>IF($Q$50=Choices!$B$36,IF(OR($E$30=Choices!$B$17,$E$31=Choices!$B$17,$E$32=Choices!$B$17,$E$33=Choices!$B$17,$Q$30=Choices!$B$17,$Q$31=Choices!$B$17,$Q$32=Choices!$B$17,$Q$33=Choices!$B$17),1,0),IF(OR($Q$30=Choices!$B$17,$Q$31=Choices!$B$17,$Q$32=Choices!$B$17,$Q$33=Choices!$B$17),1,0))</f>
        <v>0</v>
      </c>
      <c r="AF89" s="44">
        <f>IF(OR($E$30=Choices!$B$17,$E$31=Choices!$B$17,$E$32=Choices!$B$17,$E$33=Choices!$B$17,$Q$30=Choices!$B$17,$Q$31=Choices!$B$17,$Q$32=Choices!$B$17,$Q$33=Choices!$B$17),1,0)</f>
        <v>0</v>
      </c>
      <c r="AG89" s="44"/>
      <c r="AH89" s="44">
        <f>IF(OR($E$30=Choices!$B$17,$E$31=Choices!$B$17,$E$32=Choices!$B$17,$E$33=Choices!$B$17),1,0)</f>
        <v>0</v>
      </c>
      <c r="AI89" s="44">
        <f>IF(OR($Q$30=Choices!$B$17,$Q$31=Choices!$B$17,$Q$32=Choices!$B$17,$Q$33=Choices!$B$17),1,0)</f>
        <v>0</v>
      </c>
      <c r="AJ89" s="39"/>
      <c r="AK89" s="39"/>
    </row>
    <row r="90" spans="1:37" hidden="1">
      <c r="A90" s="39"/>
      <c r="B90" s="39"/>
      <c r="C90" s="39"/>
      <c r="D90" s="39"/>
      <c r="E90" s="39" t="s">
        <v>365</v>
      </c>
      <c r="F90" s="39"/>
      <c r="G90" s="39"/>
      <c r="H90" s="39"/>
      <c r="I90" s="39"/>
      <c r="J90" s="39"/>
      <c r="K90" s="39"/>
      <c r="L90" s="39"/>
      <c r="M90" s="39"/>
      <c r="N90" s="39"/>
      <c r="O90" s="39"/>
      <c r="P90" s="39"/>
      <c r="Q90" s="39"/>
      <c r="R90" s="39"/>
      <c r="S90" s="39"/>
      <c r="T90" s="39"/>
      <c r="U90" s="39"/>
      <c r="V90" s="39"/>
      <c r="W90" s="39"/>
      <c r="X90" s="39"/>
      <c r="Y90" s="39"/>
      <c r="Z90" s="39"/>
      <c r="AA90" s="39"/>
      <c r="AB90" s="39"/>
      <c r="AC90" s="39" t="s">
        <v>36</v>
      </c>
      <c r="AD90" s="44">
        <f>IF(OR($J$34=Choices!$B$21,$J$35=Choices!$B$21,$J$36=Choices!$B$21,$J$37=Choices!$B$21),1,0)</f>
        <v>0</v>
      </c>
      <c r="AE90" s="44">
        <f>IF($Q$51=Choices!$B$36,IF(OR($E$34=Choices!$B$21,$E$35=Choices!$B$21,$E$36=Choices!$B$21,$E$37=Choices!$B$21,$Q$34=Choices!$B$21,$Q$35=Choices!$B$21,$Q$36=Choices!$B$21,$Q$37=Choices!$B$21),1,0),IF(OR($Q$34=Choices!$B$21,$Q$35=Choices!$B$21,$Q$36=Choices!$B$21,$Q$37=Choices!$B$21),1,0))</f>
        <v>0</v>
      </c>
      <c r="AF90" s="44">
        <f>IF(OR($E$34=Choices!$B$21,$E$35=Choices!$B$21,$E$36=Choices!$B$21,$E$37=Choices!$B$21,$Q$34=Choices!$B$21,$Q$35=Choices!$B$21,$Q$36=Choices!$B$21,$Q$37=Choices!$B$21),1,0)</f>
        <v>0</v>
      </c>
      <c r="AG90" s="44"/>
      <c r="AH90" s="44">
        <f>IF(OR($J$34=Choices!$B$21,$J$35=Choices!$B$21,$J$36=Choices!$B$21,$J$37=Choices!$B$21),1,0)</f>
        <v>0</v>
      </c>
      <c r="AI90" s="44">
        <f>IF(OR($Q$34=Choices!$B$21,$Q$35=Choices!$B$21,$Q$36=Choices!$B$21,$Q$37=Choices!$B$21),1,0)</f>
        <v>0</v>
      </c>
      <c r="AJ90" s="39"/>
      <c r="AK90" s="39"/>
    </row>
    <row r="91" spans="1:37" hidden="1">
      <c r="A91" s="39"/>
      <c r="B91" s="39"/>
      <c r="C91" s="39"/>
      <c r="D91" s="39"/>
      <c r="E91" s="39" t="s">
        <v>366</v>
      </c>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row>
    <row r="92" spans="1:37" hidden="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t="s">
        <v>169</v>
      </c>
      <c r="AD92" s="52">
        <f>IF(AD88="","",((AD88-'RC'!$I$12)/'RC'!$J$12*'RC'!$K$12+AD89*'RC'!$K$13+AD90*'RC'!$K$14+'RC'!$K$15)*'RC'!$J$15+'RC'!$I$15)</f>
        <v>20246.178535711457</v>
      </c>
      <c r="AE92" s="52">
        <f>IF(AE88="","",((AE88-'RC'!$I$12)/'RC'!$J$12*'RC'!$K$12+AE89*'RC'!$K$13+AE90*'RC'!$K$14+'RC'!$K$15)*'RC'!$J$15+'RC'!$I$15)</f>
        <v>25990.064204393493</v>
      </c>
      <c r="AF92" s="52">
        <f>IF(AF88="","",((AF88-'RC'!$I$12)/'RC'!$J$12*'RC'!$K$12+AF89*'RC'!$K$13+AF90*'RC'!$K$14+'RC'!$K$15)*'RC'!$J$15+'RC'!$I$15)</f>
        <v>25990.064204393493</v>
      </c>
      <c r="AG92" s="52"/>
      <c r="AH92" s="52">
        <f>IF(AH88="","",((AH88-'RC'!$I$12)/'RC'!$J$12*'RC'!$K$12+AH89*'RC'!$K$13+AH90*'RC'!$K$14+'RC'!$K$15)*'RC'!$J$15+'RC'!$I$15)</f>
        <v>20884.388054453899</v>
      </c>
      <c r="AI92" s="52">
        <f>IF(AI88="","",((AI88-'RC'!$I$12)/'RC'!$J$12*'RC'!$K$12+AI89*'RC'!$K$13+AI90*'RC'!$K$14+'RC'!$K$15)*'RC'!$J$15+'RC'!$I$15)</f>
        <v>25351.854685651051</v>
      </c>
      <c r="AJ92" s="39"/>
      <c r="AK92" s="39"/>
    </row>
    <row r="93" spans="1:37" hidden="1">
      <c r="A93" s="39"/>
      <c r="B93" s="39"/>
      <c r="C93" s="39"/>
      <c r="D93" s="39" t="s">
        <v>587</v>
      </c>
      <c r="E93" s="39"/>
      <c r="F93" s="39"/>
      <c r="G93" s="39"/>
      <c r="H93" s="39"/>
      <c r="I93" s="39"/>
      <c r="J93" s="39"/>
      <c r="K93" s="39"/>
      <c r="L93" s="39"/>
      <c r="M93" s="39"/>
      <c r="N93" s="39"/>
      <c r="O93" s="39"/>
      <c r="P93" s="39"/>
      <c r="Q93" s="39"/>
      <c r="R93" s="39"/>
      <c r="S93" s="39"/>
      <c r="T93" s="39"/>
      <c r="U93" s="39"/>
      <c r="V93" s="39"/>
      <c r="W93" s="39"/>
      <c r="X93" s="39"/>
      <c r="Y93" s="39"/>
      <c r="Z93" s="39"/>
      <c r="AA93" s="39"/>
      <c r="AB93" s="49"/>
      <c r="AC93" s="49"/>
      <c r="AD93" s="49"/>
      <c r="AE93" s="49"/>
      <c r="AF93" s="49"/>
      <c r="AG93" s="49"/>
      <c r="AH93" s="49"/>
      <c r="AI93" s="49"/>
      <c r="AJ93" s="39"/>
      <c r="AK93" s="39"/>
    </row>
    <row r="94" spans="1:37" hidden="1">
      <c r="A94" s="39"/>
      <c r="B94" s="39"/>
      <c r="C94" s="39"/>
      <c r="D94" s="39"/>
      <c r="E94" s="39" t="s">
        <v>367</v>
      </c>
      <c r="F94" s="39"/>
      <c r="G94" s="39"/>
      <c r="H94" s="39"/>
      <c r="I94" s="39"/>
      <c r="J94" s="39"/>
      <c r="K94" s="39"/>
      <c r="L94" s="39"/>
      <c r="M94" s="39"/>
      <c r="N94" s="39"/>
      <c r="O94" s="39"/>
      <c r="P94" s="39"/>
      <c r="Q94" s="39"/>
      <c r="R94" s="39"/>
      <c r="S94" s="39"/>
      <c r="T94" s="39"/>
      <c r="U94" s="39"/>
      <c r="V94" s="39"/>
      <c r="W94" s="39"/>
      <c r="X94" s="39"/>
      <c r="Y94" s="39"/>
      <c r="Z94" s="39"/>
      <c r="AA94" s="39"/>
      <c r="AB94" s="39" t="s">
        <v>13</v>
      </c>
      <c r="AC94" s="39"/>
      <c r="AD94" s="39"/>
      <c r="AE94" s="39"/>
      <c r="AF94" s="39"/>
      <c r="AG94" s="39"/>
      <c r="AH94" s="39"/>
      <c r="AI94" s="39"/>
      <c r="AJ94" s="39"/>
      <c r="AK94" s="39"/>
    </row>
    <row r="95" spans="1:37" hidden="1">
      <c r="A95" s="39"/>
      <c r="B95" s="39"/>
      <c r="C95" s="39"/>
      <c r="D95" s="39"/>
      <c r="E95" s="39" t="s">
        <v>368</v>
      </c>
      <c r="F95" s="39"/>
      <c r="G95" s="39"/>
      <c r="H95" s="39"/>
      <c r="I95" s="39"/>
      <c r="J95" s="39"/>
      <c r="K95" s="39"/>
      <c r="L95" s="39"/>
      <c r="M95" s="39"/>
      <c r="N95" s="39"/>
      <c r="O95" s="39"/>
      <c r="P95" s="39"/>
      <c r="Q95" s="39"/>
      <c r="R95" s="39"/>
      <c r="S95" s="39"/>
      <c r="T95" s="39"/>
      <c r="U95" s="39"/>
      <c r="V95" s="39"/>
      <c r="W95" s="39"/>
      <c r="X95" s="39"/>
      <c r="Y95" s="39"/>
      <c r="Z95" s="39"/>
      <c r="AA95" s="39"/>
      <c r="AB95" s="39"/>
      <c r="AC95" s="39" t="s">
        <v>17</v>
      </c>
      <c r="AD95" s="44">
        <f>$J$25</f>
        <v>0</v>
      </c>
      <c r="AE95" s="44">
        <f>$E$25+$Q$25</f>
        <v>450</v>
      </c>
      <c r="AF95" s="44">
        <f>$E$25+$Q$25</f>
        <v>450</v>
      </c>
      <c r="AG95" s="44"/>
      <c r="AH95" s="44">
        <f>$E$25</f>
        <v>50</v>
      </c>
      <c r="AI95" s="44">
        <f>$Q$25</f>
        <v>400</v>
      </c>
      <c r="AJ95" s="39"/>
      <c r="AK95" s="39"/>
    </row>
    <row r="96" spans="1:37" hidden="1">
      <c r="A96" s="39"/>
      <c r="B96" s="39"/>
      <c r="C96" s="39"/>
      <c r="D96" s="39"/>
      <c r="E96" s="39" t="s">
        <v>369</v>
      </c>
      <c r="F96" s="39"/>
      <c r="G96" s="39"/>
      <c r="H96" s="39"/>
      <c r="I96" s="39"/>
      <c r="J96" s="39"/>
      <c r="K96" s="39"/>
      <c r="L96" s="39"/>
      <c r="M96" s="39"/>
      <c r="N96" s="39"/>
      <c r="O96" s="39"/>
      <c r="P96" s="39"/>
      <c r="Q96" s="39"/>
      <c r="R96" s="39"/>
      <c r="S96" s="39"/>
      <c r="T96" s="39"/>
      <c r="U96" s="39"/>
      <c r="V96" s="39"/>
      <c r="W96" s="39"/>
      <c r="X96" s="39"/>
      <c r="Y96" s="39"/>
      <c r="Z96" s="39"/>
      <c r="AA96" s="39"/>
      <c r="AB96" s="39"/>
      <c r="AC96" s="39" t="s">
        <v>10</v>
      </c>
      <c r="AD96" s="44">
        <f>$E$38</f>
        <v>1</v>
      </c>
      <c r="AE96" s="44">
        <f>IF($Q$51=Choices!$B$36,$E$38+$Q$38,$Q$38)</f>
        <v>1</v>
      </c>
      <c r="AF96" s="44">
        <f>$E$38+$Q$38</f>
        <v>2</v>
      </c>
      <c r="AG96" s="44"/>
      <c r="AH96" s="44">
        <f>$E$38</f>
        <v>1</v>
      </c>
      <c r="AI96" s="44">
        <f>$Q$38</f>
        <v>1</v>
      </c>
      <c r="AJ96" s="39"/>
      <c r="AK96" s="39"/>
    </row>
    <row r="97" spans="1:37" hidden="1">
      <c r="A97" s="39"/>
      <c r="B97" s="39"/>
      <c r="C97" s="39"/>
      <c r="D97" s="39"/>
      <c r="E97" s="39" t="s">
        <v>370</v>
      </c>
      <c r="F97" s="39"/>
      <c r="G97" s="39"/>
      <c r="H97" s="39"/>
      <c r="I97" s="39"/>
      <c r="J97" s="39"/>
      <c r="K97" s="39"/>
      <c r="L97" s="39"/>
      <c r="M97" s="39"/>
      <c r="N97" s="39"/>
      <c r="O97" s="39"/>
      <c r="P97" s="39"/>
      <c r="Q97" s="39"/>
      <c r="R97" s="39"/>
      <c r="S97" s="39"/>
      <c r="T97" s="39"/>
      <c r="U97" s="39"/>
      <c r="V97" s="39"/>
      <c r="W97" s="39"/>
      <c r="X97" s="39"/>
      <c r="Y97" s="39"/>
      <c r="Z97" s="39"/>
      <c r="AA97" s="39"/>
      <c r="AB97" s="39"/>
      <c r="AC97" s="39" t="s">
        <v>18</v>
      </c>
      <c r="AD97" s="44">
        <f>IF(OR($J$30=Choices!$B$17,$J$31=Choices!$B$17,$J$32=Choices!$B$17,$J$33=Choices!$B$17),1,0)</f>
        <v>0</v>
      </c>
      <c r="AE97" s="44">
        <f>IF($Q$50=Choices!$B$36,IF(OR($E$30=Choices!$B$17,$E$31=Choices!$B$17,$E$32=Choices!$B$17,$E$33=Choices!$B$17,$Q$30=Choices!$B$17,$Q$31=Choices!$B$17,$Q$32=Choices!$B$17,$Q$33=Choices!$B$17),1,0),IF(OR($Q$30=Choices!$B$17,$Q$31=Choices!$B$17,$Q$32=Choices!$B$17,$Q$33=Choices!$B$17),1,0))</f>
        <v>0</v>
      </c>
      <c r="AF97" s="44">
        <f>IF(OR($E$30=Choices!$B$17,$E$31=Choices!$B$17,$E$32=Choices!$B$17,$E$33=Choices!$B$17,$Q$30=Choices!$B$17,$Q$31=Choices!$B$17,$Q$32=Choices!$B$17,$Q$33=Choices!$B$17),1,0)</f>
        <v>0</v>
      </c>
      <c r="AG97" s="44"/>
      <c r="AH97" s="44">
        <f>IF(OR($E$30=Choices!$B$17,$E$31=Choices!$B$17,$E$32=Choices!$B$17,$E$33=Choices!$B$17),1,0)</f>
        <v>0</v>
      </c>
      <c r="AI97" s="44">
        <f>IF(OR($Q$30=Choices!$B$17,$Q$31=Choices!$B$17,$Q$32=Choices!$B$17,$Q$33=Choices!$B$17),1,0)</f>
        <v>0</v>
      </c>
      <c r="AJ97" s="39"/>
      <c r="AK97" s="39"/>
    </row>
    <row r="98" spans="1:37" hidden="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t="s">
        <v>16</v>
      </c>
      <c r="AD98" s="44">
        <f>IF(OR($J$34=Choices!$B$20,$J$35=Choices!$B$20,$J$36=Choices!$B$20,$J$37=Choices!$B$20),1,0)</f>
        <v>0</v>
      </c>
      <c r="AE98" s="44">
        <f>IF($Q$51=Choices!$B$36,IF(OR($E$34=Choices!$B$20,$E$35=Choices!$B$20,$E$36=Choices!$B$20,$E$37=Choices!$B$20,$Q$34=Choices!$B$20,$Q$35=Choices!$B$20,$Q$36=Choices!$B$20,$Q$37=Choices!$B$20),1,0),IF(OR($Q$34=Choices!$B$20,$Q$35=Choices!$B$20,$Q$36=Choices!$B$20,$Q$37=Choices!$B$20),1,0))</f>
        <v>1</v>
      </c>
      <c r="AF98" s="44">
        <f>IF(OR($E$34=Choices!$B$20,$E$35=Choices!$B$20,$E$36=Choices!$B$20,$E$37=Choices!$B$20,$Q$34=Choices!$B$20,$Q$35=Choices!$B$20,$Q$36=Choices!$B$20,$Q$37=Choices!$B$20),1,0)</f>
        <v>1</v>
      </c>
      <c r="AG98" s="44"/>
      <c r="AH98" s="44">
        <f>IF(OR($E$34=Choices!$B$20,$E$35=Choices!$B$20,$E$36=Choices!$B$20,$E$37=Choices!$B$20),1,0)</f>
        <v>0</v>
      </c>
      <c r="AI98" s="44">
        <f>IF(OR($Q$34=Choices!$B$20,$Q$35=Choices!$B$20,$Q$36=Choices!$B$20,$Q$37=Choices!$B$20),1,0)</f>
        <v>1</v>
      </c>
      <c r="AJ98" s="39"/>
      <c r="AK98" s="39"/>
    </row>
    <row r="99" spans="1:37" hidden="1">
      <c r="A99" s="39"/>
      <c r="B99" s="39"/>
      <c r="C99" s="39"/>
      <c r="D99" s="39" t="s">
        <v>431</v>
      </c>
      <c r="E99" s="39"/>
      <c r="F99" s="39"/>
      <c r="G99" s="39"/>
      <c r="H99" s="39"/>
      <c r="I99" s="39"/>
      <c r="J99" s="39"/>
      <c r="K99" s="39"/>
      <c r="L99" s="39"/>
      <c r="M99" s="39"/>
      <c r="N99" s="39"/>
      <c r="O99" s="39"/>
      <c r="P99" s="39"/>
      <c r="Q99" s="39"/>
      <c r="R99" s="39"/>
      <c r="S99" s="39"/>
      <c r="T99" s="39"/>
      <c r="U99" s="39"/>
      <c r="V99" s="39"/>
      <c r="W99" s="39"/>
      <c r="X99" s="39"/>
      <c r="Y99" s="39"/>
      <c r="Z99" s="39"/>
      <c r="AA99" s="39"/>
      <c r="AB99" s="49"/>
      <c r="AC99" s="49"/>
      <c r="AD99" s="49"/>
      <c r="AE99" s="49"/>
      <c r="AF99" s="49"/>
      <c r="AG99" s="49"/>
      <c r="AH99" s="49"/>
      <c r="AI99" s="49"/>
      <c r="AJ99" s="39"/>
      <c r="AK99" s="39"/>
    </row>
    <row r="100" spans="1:37" hidden="1">
      <c r="A100" s="39"/>
      <c r="B100" s="39"/>
      <c r="C100" s="39"/>
      <c r="D100" s="39"/>
      <c r="E100" s="39" t="s">
        <v>373</v>
      </c>
      <c r="F100" s="39"/>
      <c r="G100" s="39"/>
      <c r="H100" s="39"/>
      <c r="I100" s="39"/>
      <c r="J100" s="39"/>
      <c r="K100" s="39"/>
      <c r="L100" s="39"/>
      <c r="M100" s="39"/>
      <c r="N100" s="39"/>
      <c r="O100" s="39"/>
      <c r="P100" s="39"/>
      <c r="Q100" s="39"/>
      <c r="R100" s="39"/>
      <c r="S100" s="39"/>
      <c r="T100" s="39"/>
      <c r="U100" s="39"/>
      <c r="V100" s="39"/>
      <c r="W100" s="39"/>
      <c r="X100" s="39"/>
      <c r="Y100" s="39"/>
      <c r="Z100" s="39"/>
      <c r="AA100" s="39"/>
      <c r="AB100" s="39" t="s">
        <v>14</v>
      </c>
      <c r="AC100" s="39"/>
      <c r="AD100" s="39"/>
      <c r="AE100" s="39"/>
      <c r="AF100" s="39"/>
      <c r="AG100" s="39"/>
      <c r="AH100" s="39"/>
      <c r="AI100" s="39"/>
      <c r="AJ100" s="39"/>
      <c r="AK100" s="39"/>
    </row>
    <row r="101" spans="1:37" hidden="1">
      <c r="A101" s="39"/>
      <c r="B101" s="39"/>
      <c r="C101" s="39"/>
      <c r="D101" s="39"/>
      <c r="E101" s="39" t="s">
        <v>381</v>
      </c>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t="s">
        <v>21</v>
      </c>
      <c r="AD101" s="44">
        <f>$J$26</f>
        <v>0</v>
      </c>
      <c r="AE101" s="44">
        <f>$E$26+$Q$26</f>
        <v>350</v>
      </c>
      <c r="AF101" s="44">
        <f>$E$26+$Q$26</f>
        <v>350</v>
      </c>
      <c r="AG101" s="44"/>
      <c r="AH101" s="44">
        <f>$E$26</f>
        <v>100</v>
      </c>
      <c r="AI101" s="44">
        <f>$Q$26</f>
        <v>250</v>
      </c>
      <c r="AJ101" s="39"/>
      <c r="AK101" s="39"/>
    </row>
    <row r="102" spans="1:37" hidden="1">
      <c r="A102" s="39"/>
      <c r="B102" s="39"/>
      <c r="C102" s="39"/>
      <c r="D102" s="39"/>
      <c r="E102" s="39" t="s">
        <v>472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t="s">
        <v>20</v>
      </c>
      <c r="AD102" s="44">
        <f>IF($J$23=Choices!$B$6,1,0)</f>
        <v>0</v>
      </c>
      <c r="AE102" s="44">
        <f>IF($Q$23=Choices!$B$6,1,0)</f>
        <v>0</v>
      </c>
      <c r="AF102" s="44">
        <f>IF($Q$23=Choices!$B$6,1,0)</f>
        <v>0</v>
      </c>
      <c r="AG102" s="44"/>
      <c r="AH102" s="44">
        <f>IF($E$23=Choices!$B$6,1,0)</f>
        <v>1</v>
      </c>
      <c r="AI102" s="44">
        <f>IF($Q$23=Choices!$B$6,1,0)</f>
        <v>0</v>
      </c>
      <c r="AJ102" s="39"/>
      <c r="AK102" s="39"/>
    </row>
    <row r="103" spans="1:37" hidden="1">
      <c r="A103" s="39"/>
      <c r="B103" s="39"/>
      <c r="C103" s="39"/>
      <c r="D103" s="39" t="s">
        <v>222</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row>
    <row r="104" spans="1:37" hidden="1">
      <c r="A104" s="39"/>
      <c r="B104" s="39"/>
      <c r="C104" s="39"/>
      <c r="D104" s="39"/>
      <c r="E104" s="39" t="s">
        <v>595</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t="s">
        <v>169</v>
      </c>
      <c r="AD104" s="52">
        <f>IF(AD101="","",(AD101-'RC'!$I$28)/'RC'!$J$28*'RC'!$K$28+AD102*'RC'!$K$29+'RC'!$K$30)/1000</f>
        <v>-430.65865846435747</v>
      </c>
      <c r="AE104" s="52">
        <f>IF(AE101="","",(AE101-'RC'!$I$28)/'RC'!$J$28*'RC'!$K$28+AE102*'RC'!$K$29+'RC'!$K$30)/1000</f>
        <v>3226.336311250881</v>
      </c>
      <c r="AF104" s="52">
        <f>IF(AF101="","",(AF101-'RC'!$I$28)/'RC'!$J$28*'RC'!$K$28+AF102*'RC'!$K$29+'RC'!$K$30)/1000</f>
        <v>3226.336311250881</v>
      </c>
      <c r="AG104" s="52"/>
      <c r="AH104" s="52">
        <f>IF(AH101="","",(AH101-'RC'!$I$28)/'RC'!$J$28*'RC'!$K$28+AH102*'RC'!$K$29+'RC'!$K$30)/1000</f>
        <v>2019.8859732041299</v>
      </c>
      <c r="AI104" s="52">
        <f>IF(AI101="","",(AI101-'RC'!$I$28)/'RC'!$J$28*'RC'!$K$28+AI102*'RC'!$K$29+'RC'!$K$30)/1000</f>
        <v>2181.4806056179555</v>
      </c>
      <c r="AJ104" s="39"/>
      <c r="AK104" s="39"/>
    </row>
    <row r="105" spans="1:37" hidden="1">
      <c r="A105" s="39"/>
      <c r="B105" s="39"/>
      <c r="C105" s="39"/>
      <c r="D105" s="39"/>
      <c r="E105" s="39" t="s">
        <v>590</v>
      </c>
      <c r="F105" s="39"/>
      <c r="G105" s="39"/>
      <c r="H105" s="39"/>
      <c r="I105" s="39"/>
      <c r="J105" s="39"/>
      <c r="K105" s="39"/>
      <c r="L105" s="39"/>
      <c r="M105" s="39"/>
      <c r="N105" s="39"/>
      <c r="O105" s="39"/>
      <c r="P105" s="39"/>
      <c r="Q105" s="39"/>
      <c r="R105" s="39"/>
      <c r="S105" s="39"/>
      <c r="T105" s="39"/>
      <c r="U105" s="39"/>
      <c r="V105" s="39"/>
      <c r="W105" s="39"/>
      <c r="X105" s="39"/>
      <c r="Y105" s="39"/>
      <c r="Z105" s="39"/>
      <c r="AA105" s="39"/>
      <c r="AB105" s="49"/>
      <c r="AC105" s="49"/>
      <c r="AD105" s="49"/>
      <c r="AE105" s="49"/>
      <c r="AF105" s="49"/>
      <c r="AG105" s="49"/>
      <c r="AH105" s="49"/>
      <c r="AI105" s="49"/>
      <c r="AJ105" s="39"/>
      <c r="AK105" s="39"/>
    </row>
    <row r="106" spans="1:37" hidden="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119" t="s">
        <v>338</v>
      </c>
      <c r="AC106" s="53"/>
      <c r="AD106" s="53"/>
      <c r="AE106" s="39"/>
      <c r="AF106" s="39"/>
      <c r="AG106" s="39"/>
      <c r="AH106" s="39"/>
      <c r="AI106" s="39"/>
      <c r="AJ106" s="39"/>
      <c r="AK106" s="39"/>
    </row>
    <row r="107" spans="1:37" hidden="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t="s">
        <v>435</v>
      </c>
      <c r="AD107" s="39"/>
      <c r="AE107" s="39"/>
      <c r="AF107" s="39"/>
      <c r="AG107" s="44">
        <f>$Y$24+$Y$25</f>
        <v>0</v>
      </c>
      <c r="AH107" s="39"/>
      <c r="AI107" s="39"/>
      <c r="AJ107" s="39"/>
      <c r="AK107" s="39"/>
    </row>
    <row r="108" spans="1:37" hidden="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t="s">
        <v>436</v>
      </c>
      <c r="AD108" s="39"/>
      <c r="AE108" s="39"/>
      <c r="AF108" s="39"/>
      <c r="AG108" s="44">
        <f>$Y$24+$Y$26</f>
        <v>0</v>
      </c>
      <c r="AH108" s="39"/>
      <c r="AI108" s="39"/>
      <c r="AJ108" s="39"/>
      <c r="AK108" s="39"/>
    </row>
    <row r="109" spans="1:37" hidden="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53"/>
      <c r="AC109" s="40" t="s">
        <v>169</v>
      </c>
      <c r="AD109" s="53"/>
      <c r="AE109" s="39"/>
      <c r="AF109" s="39"/>
      <c r="AG109" s="44">
        <f>($AG$107*'RC'!$C$50+$AG$108*'RC'!$C$51)/1000</f>
        <v>0</v>
      </c>
      <c r="AH109" s="39"/>
      <c r="AI109" s="39"/>
      <c r="AJ109" s="39"/>
      <c r="AK109" s="39"/>
    </row>
    <row r="110" spans="1:37" hidden="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row>
    <row r="111" spans="1:37">
      <c r="AB111" s="6"/>
    </row>
    <row r="133" spans="9:9">
      <c r="I133" s="10"/>
    </row>
  </sheetData>
  <sheetProtection algorithmName="SHA-512" hashValue="DUfOXRr5BkmX8YEP6rNmhJulS77AYT3+/g+rGq7E/pNnArctSi/uCSUI1IswQ7Q8cImLVahetoXyco/xyc2PTQ==" saltValue="KK67PxyNi1i6qHWl3kyiKw==" spinCount="100000" sheet="1" objects="1" scenarios="1"/>
  <mergeCells count="5">
    <mergeCell ref="I4:I5"/>
    <mergeCell ref="J4:J5"/>
    <mergeCell ref="Q11:Y17"/>
    <mergeCell ref="D13:D15"/>
    <mergeCell ref="P55:Q55"/>
  </mergeCells>
  <phoneticPr fontId="1"/>
  <dataValidations count="6">
    <dataValidation type="whole" operator="greaterThan" allowBlank="1" showInputMessage="1" showErrorMessage="1" sqref="Y36 J24:J26 Y38 Y24:Y26 Y31 Q26" xr:uid="{2851790E-7EE5-4751-AB41-1C0B50D26BD6}">
      <formula1>0</formula1>
    </dataValidation>
    <dataValidation type="whole" operator="greaterThan" allowBlank="1" showInputMessage="1" showErrorMessage="1" promptTitle="接続あるいは統合先の給水人口" prompt="接続あるいは統合前の現在給水人口を入力してください．" sqref="Q25" xr:uid="{B9BF9F38-1260-4971-9CFB-B901DF91CD8C}">
      <formula1>0</formula1>
    </dataValidation>
    <dataValidation type="whole" operator="greaterThan" allowBlank="1" showInputMessage="1" showErrorMessage="1" promptTitle="接続先の余力確認" prompt="接続先の，計画給水人口と現在給水人口の差が，再編対象水道の現在給水人口より大きいことを確認してください" sqref="Q24" xr:uid="{F1A83091-70B4-4731-8008-549CB613DBA2}">
      <formula1>0</formula1>
    </dataValidation>
    <dataValidation type="whole" operator="greaterThanOrEqual" allowBlank="1" showInputMessage="1" showErrorMessage="1" sqref="Y33 Q38 K42:K48 Y44 Y48 Y51 Y54 R42:R46 R48:R52 K50:K52 J38" xr:uid="{623B190C-2927-46B0-9A9C-AA5EE2671948}">
      <formula1>0</formula1>
    </dataValidation>
    <dataValidation type="whole" operator="greaterThanOrEqual" allowBlank="1" showInputMessage="1" showErrorMessage="1" promptTitle="配水池容量" prompt="一般的には，必要な日配水量の半分程度の容量を確保します．_x000a_配水池の容量を増やす場合は，配水池の数量を増やしてください．" sqref="K49 R47 K53" xr:uid="{D72928B6-137F-4628-9ABA-FD867B7C0DB8}">
      <formula1>0</formula1>
    </dataValidation>
    <dataValidation allowBlank="1" showInputMessage="1" showErrorMessage="1" promptTitle="現状の事業" prompt="現状の事業についてはシナリオ1のシートに入力して下さい．" sqref="E23:E27 E30:E38" xr:uid="{C18E93C3-2956-4410-A6A8-0C15773C1BD5}"/>
  </dataValidations>
  <pageMargins left="0.70866141732283472" right="0.70866141732283472" top="0.74803149606299213" bottom="0.74803149606299213" header="0.31496062992125984" footer="0.31496062992125984"/>
  <pageSetup paperSize="8" scale="70"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3250" r:id="rId4" name="Check Box 2">
              <controlPr locked="0" defaultSize="0" autoFill="0" autoLine="0" autoPict="0">
                <anchor moveWithCells="1">
                  <from>
                    <xdr:col>2</xdr:col>
                    <xdr:colOff>19050</xdr:colOff>
                    <xdr:row>5</xdr:row>
                    <xdr:rowOff>228600</xdr:rowOff>
                  </from>
                  <to>
                    <xdr:col>3</xdr:col>
                    <xdr:colOff>85725</xdr:colOff>
                    <xdr:row>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C7AD8E6B-4648-4F7D-B298-EE4D11F869F3}">
            <xm:f>$J$4&lt;&gt;Choices!$B$26</xm:f>
            <x14:dxf>
              <fill>
                <patternFill>
                  <bgColor theme="6" tint="0.59996337778862885"/>
                </patternFill>
              </fill>
            </x14:dxf>
          </x14:cfRule>
          <xm:sqref>J23:J27 J30:J38</xm:sqref>
        </x14:conditionalFormatting>
        <x14:conditionalFormatting xmlns:xm="http://schemas.microsoft.com/office/excel/2006/main">
          <x14:cfRule type="expression" priority="1" id="{554F661B-B89D-4B9F-BCA1-96C0AFF453B5}">
            <xm:f>$J$4&lt;&gt;Choices!$B$26</xm:f>
            <x14:dxf>
              <fill>
                <patternFill>
                  <bgColor theme="6" tint="0.59996337778862885"/>
                </patternFill>
              </fill>
            </x14:dxf>
          </x14:cfRule>
          <x14:cfRule type="expression" priority="2" id="{AC20769E-FD9E-4DE4-B3C2-D26EFC77A961}">
            <xm:f>$J$4=Choices!$B$26</xm:f>
            <x14:dxf>
              <fill>
                <patternFill>
                  <bgColor theme="7" tint="0.79998168889431442"/>
                </patternFill>
              </fill>
            </x14:dxf>
          </x14:cfRule>
          <xm:sqref>J42:K53</xm:sqref>
        </x14:conditionalFormatting>
        <x14:conditionalFormatting xmlns:xm="http://schemas.microsoft.com/office/excel/2006/main">
          <x14:cfRule type="expression" priority="4" id="{27C258DE-C025-43D3-9AF7-33D6360F6398}">
            <xm:f>OR($J$4="",$J$4=Choices!$B$26,$J$4=Choices!$B$29)</xm:f>
            <x14:dxf>
              <fill>
                <patternFill>
                  <bgColor theme="0" tint="-0.14996795556505021"/>
                </patternFill>
              </fill>
            </x14:dxf>
          </x14:cfRule>
          <xm:sqref>Q23:Q27 Q30:Q38</xm:sqref>
        </x14:conditionalFormatting>
        <x14:conditionalFormatting xmlns:xm="http://schemas.microsoft.com/office/excel/2006/main">
          <x14:cfRule type="expression" priority="5" id="{B543D214-8D2B-4A69-84E9-59551D6FA7E1}">
            <xm:f>$J$4&lt;&gt;Choices!$B$27</xm:f>
            <x14:dxf>
              <fill>
                <patternFill>
                  <bgColor theme="6" tint="0.59996337778862885"/>
                </patternFill>
              </fill>
            </x14:dxf>
          </x14:cfRule>
          <x14:cfRule type="expression" priority="6" id="{144E2689-A9F4-42C0-9769-1BC94F56F301}">
            <xm:f>$J$4=Choices!$B$27</xm:f>
            <x14:dxf>
              <fill>
                <patternFill>
                  <bgColor theme="7" tint="0.79998168889431442"/>
                </patternFill>
              </fill>
            </x14:dxf>
          </x14:cfRule>
          <xm:sqref>Q43:R47 Q50:Q51 P55</xm:sqref>
        </x14:conditionalFormatting>
        <x14:conditionalFormatting xmlns:xm="http://schemas.microsoft.com/office/excel/2006/main">
          <x14:cfRule type="expression" priority="7" id="{5145BACA-7962-4C31-8723-5238A1B3414B}">
            <xm:f>$J$4&lt;&gt;Choices!$B$29</xm:f>
            <x14:dxf>
              <fill>
                <patternFill>
                  <bgColor theme="6" tint="0.59996337778862885"/>
                </patternFill>
              </fill>
            </x14:dxf>
          </x14:cfRule>
          <xm:sqref>X23 Y24:Y26 Y31 Y33 Y36 Y38 X43:Y44 X46:Y48 X50:Y51 X53:Y54</xm:sqref>
        </x14:conditionalFormatting>
        <x14:conditionalFormatting xmlns:xm="http://schemas.microsoft.com/office/excel/2006/main">
          <x14:cfRule type="expression" priority="8" id="{AFB9177C-7E46-4388-84FC-71E26AA4713C}">
            <xm:f>$J$4=Choices!$B$29</xm:f>
            <x14:dxf>
              <fill>
                <patternFill>
                  <bgColor theme="9" tint="0.59996337778862885"/>
                </patternFill>
              </fill>
            </x14:dxf>
          </x14:cfRule>
          <xm:sqref>X43:Y43 X46:Y47 X50:Y50 X53:Y53</xm:sqref>
        </x14:conditionalFormatting>
        <x14:conditionalFormatting xmlns:xm="http://schemas.microsoft.com/office/excel/2006/main">
          <x14:cfRule type="expression" priority="9" id="{4693713C-5E3E-43EF-9579-F6C66412756B}">
            <xm:f>$J$4=Choices!$B$29</xm:f>
            <x14:dxf>
              <fill>
                <patternFill>
                  <bgColor theme="7" tint="0.79998168889431442"/>
                </patternFill>
              </fill>
            </x14:dxf>
          </x14:cfRule>
          <xm:sqref>X44:Y44 X48:Y48 X51:Y51 X54:Y54</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AA4504DF-977D-402B-A025-B6588DFDFF1F}">
          <x14:formula1>
            <xm:f>IC!$B$25:$B$31</xm:f>
          </x14:formula1>
          <xm:sqref>X47 J51</xm:sqref>
        </x14:dataValidation>
        <x14:dataValidation type="list" allowBlank="1" showInputMessage="1" showErrorMessage="1" xr:uid="{087015AB-9867-4F4A-ACF6-5EC4FCA4B441}">
          <x14:formula1>
            <xm:f>IC!$B$34:$B$37</xm:f>
          </x14:formula1>
          <xm:sqref>J48 Q46 J52</xm:sqref>
        </x14:dataValidation>
        <x14:dataValidation type="list" allowBlank="1" showInputMessage="1" showErrorMessage="1" xr:uid="{679F52D5-E469-42EF-8214-31D0E67802CD}">
          <x14:formula1>
            <xm:f>IC!$B$16:$B$23</xm:f>
          </x14:formula1>
          <xm:sqref>X53 X50 J50 X43 X46</xm:sqref>
        </x14:dataValidation>
        <x14:dataValidation type="list" allowBlank="1" showInputMessage="1" showErrorMessage="1" xr:uid="{1E20E604-52EC-4D4E-891B-C31F2FA800B6}">
          <x14:formula1>
            <xm:f>IC!$B$5:$B$14</xm:f>
          </x14:formula1>
          <xm:sqref>J42:J45 Q43:Q46</xm:sqref>
        </x14:dataValidation>
        <x14:dataValidation type="list" allowBlank="1" showInputMessage="1" showErrorMessage="1" xr:uid="{96D5466F-BB48-4B7B-BF4F-47C5DE9BD79E}">
          <x14:formula1>
            <xm:f>Choices!$B$11:$B$18</xm:f>
          </x14:formula1>
          <xm:sqref>J30:J33 Q30:Q33</xm:sqref>
        </x14:dataValidation>
        <x14:dataValidation type="list" allowBlank="1" showInputMessage="1" showErrorMessage="1" xr:uid="{95111BE9-73A0-4A09-AB20-5D55056C434C}">
          <x14:formula1>
            <xm:f>Choices!$B$19:$B$25</xm:f>
          </x14:formula1>
          <xm:sqref>Q34:Q37</xm:sqref>
        </x14:dataValidation>
        <x14:dataValidation type="list" showInputMessage="1" showErrorMessage="1" xr:uid="{9B380E55-1A1B-4EA0-83CC-3BF7D3E0B14B}">
          <x14:formula1>
            <xm:f>Choices!$B$36:$B$38</xm:f>
          </x14:formula1>
          <xm:sqref>Q50:Q51</xm:sqref>
        </x14:dataValidation>
        <x14:dataValidation type="list" allowBlank="1" showInputMessage="1" showErrorMessage="1" promptTitle="注意！" prompt="実際の水質に応じた処理を検討してください" xr:uid="{E76045FE-1262-4D3F-BF25-8F48DD59A210}">
          <x14:formula1>
            <xm:f>Choices!$B$19:$B$25</xm:f>
          </x14:formula1>
          <xm:sqref>J34:J37</xm:sqref>
        </x14:dataValidation>
        <x14:dataValidation type="list" allowBlank="1" showInputMessage="1" showErrorMessage="1" xr:uid="{DFD2A31B-6875-4CE1-B614-12BD8A254516}">
          <x14:formula1>
            <xm:f>Choices!$B$2:$B$7</xm:f>
          </x14:formula1>
          <xm:sqref>J23 Q23</xm:sqref>
        </x14:dataValidation>
        <x14:dataValidation type="list" allowBlank="1" showInputMessage="1" showErrorMessage="1" prompt="自治体から地域への委託による場合は「水道利用組合等」を選択してください" xr:uid="{72F80169-4FD7-44AD-A949-CDD62E9B5485}">
          <x14:formula1>
            <xm:f>Choices!$B$8:$B$10</xm:f>
          </x14:formula1>
          <xm:sqref>J27 Q27</xm:sqref>
        </x14:dataValidation>
        <x14:dataValidation type="list" allowBlank="1" showInputMessage="1" showErrorMessage="1" promptTitle="配水池容量" prompt="一般的には，必要な日配水量の半分程度の容量を確保します．_x000a_配水池の容量を増やす場合は，配水池の数量を増やしてください．" xr:uid="{465DE30B-B243-46E0-A8DB-F8495065A427}">
          <x14:formula1>
            <xm:f>IC!$B$39:$B$42</xm:f>
          </x14:formula1>
          <xm:sqref>J49 Q47 J53</xm:sqref>
        </x14:dataValidation>
        <x14:dataValidation type="list" allowBlank="1" showInputMessage="1" showErrorMessage="1" promptTitle="取水方式" prompt="(2)で選択した水源に応じて取水設備を選択してください．" xr:uid="{4C6274BD-7E3F-4CBE-8678-D4FF42F37B1B}">
          <x14:formula1>
            <xm:f>IC!$B$16:$B$23</xm:f>
          </x14:formula1>
          <xm:sqref>J46</xm:sqref>
        </x14:dataValidation>
        <x14:dataValidation type="list" allowBlank="1" showInputMessage="1" showErrorMessage="1" promptTitle="処理方式" prompt="(2)で選択した処理方式に応じて浄水設備を選択してください．" xr:uid="{EB99F28C-08A1-444A-9911-B8CB00361264}">
          <x14:formula1>
            <xm:f>IC!$B$25:$B$31</xm:f>
          </x14:formula1>
          <xm:sqref>J47</xm:sqref>
        </x14:dataValidation>
        <x14:dataValidation type="list" allowBlank="1" showInputMessage="1" showErrorMessage="1" prompt="共同井戸の場合，井戸から各戸までを接続する配管について選択・入力してください．" xr:uid="{C3B92762-1CF0-4EF2-827D-1EADFEE5C6E7}">
          <x14:formula1>
            <xm:f>IC!$B$5:$B$13</xm:f>
          </x14:formula1>
          <xm:sqref>X44 X48 X51 X54</xm:sqref>
        </x14:dataValidation>
        <x14:dataValidation type="list" showInputMessage="1" showErrorMessage="1" promptTitle="事業の統合" prompt="・事業を統合する：管路を接続するなど施設を一体化し，事業（および経営）を統合する場合です．_x000a_・事業を統合しない：管路は接続しますが，事業（および経営）は接続先と別々にする場合です．" xr:uid="{FB83F3DE-344E-4BA2-B51A-F49713F6A7CE}">
          <x14:formula1>
            <xm:f>Choices!$B$40:$B$42</xm:f>
          </x14:formula1>
          <xm:sqref>P55:Q55</xm:sqref>
        </x14:dataValidation>
        <x14:dataValidation type="list" allowBlank="1" showInputMessage="1" showErrorMessage="1" xr:uid="{B461FB35-B8BB-4BB2-AB1A-D101BF1A6236}">
          <x14:formula1>
            <xm:f>Choices!$B$26:$B$30</xm:f>
          </x14:formula1>
          <xm:sqref>J4:J5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0B9C-DFD7-45EA-847E-9C938C7DE56F}">
  <sheetPr>
    <tabColor theme="7" tint="0.79998168889431442"/>
  </sheetPr>
  <dimension ref="A1:AK133"/>
  <sheetViews>
    <sheetView zoomScale="85" zoomScaleNormal="85" zoomScaleSheetLayoutView="40" workbookViewId="0">
      <selection activeCell="E68" sqref="E68"/>
    </sheetView>
  </sheetViews>
  <sheetFormatPr defaultColWidth="9" defaultRowHeight="18.75"/>
  <cols>
    <col min="1" max="1" width="2.625" customWidth="1"/>
    <col min="2" max="3" width="3.875" customWidth="1"/>
    <col min="4" max="4" width="18.75" customWidth="1"/>
    <col min="5" max="5" width="18.625" customWidth="1"/>
    <col min="6" max="6" width="7.5" customWidth="1"/>
    <col min="7" max="8" width="3.125" customWidth="1"/>
    <col min="9" max="9" width="18.75" customWidth="1"/>
    <col min="10" max="10" width="25" customWidth="1"/>
    <col min="11" max="11" width="7.5" customWidth="1"/>
    <col min="12" max="12" width="3.75" customWidth="1"/>
    <col min="13" max="13" width="3.875" customWidth="1"/>
    <col min="14" max="14" width="3.625" customWidth="1"/>
    <col min="15" max="15" width="3.75" customWidth="1"/>
    <col min="16" max="16" width="18.625" customWidth="1"/>
    <col min="17" max="17" width="25" customWidth="1"/>
    <col min="18" max="18" width="7.625" customWidth="1"/>
    <col min="19" max="19" width="7.5" customWidth="1"/>
    <col min="20" max="22" width="3.875" customWidth="1"/>
    <col min="23" max="24" width="18.75" customWidth="1"/>
    <col min="25" max="26" width="7.5" customWidth="1"/>
    <col min="27" max="27" width="2.375" customWidth="1"/>
    <col min="28" max="28" width="15.125" hidden="1" customWidth="1"/>
    <col min="29" max="29" width="35" hidden="1" customWidth="1"/>
    <col min="30" max="32" width="13.875" hidden="1" customWidth="1"/>
    <col min="33" max="34" width="13.75" hidden="1" customWidth="1"/>
    <col min="35" max="35" width="8.75" hidden="1" customWidth="1"/>
    <col min="36" max="36" width="6.125" hidden="1" customWidth="1"/>
    <col min="37" max="37" width="9" hidden="1" customWidth="1"/>
  </cols>
  <sheetData>
    <row r="1" spans="1:37" ht="18.75" customHeight="1">
      <c r="A1" s="55"/>
      <c r="B1" s="74" t="s">
        <v>280</v>
      </c>
      <c r="C1" s="55"/>
      <c r="D1" s="55"/>
      <c r="E1" s="55"/>
      <c r="F1" s="55"/>
      <c r="G1" s="55"/>
      <c r="H1" s="55"/>
      <c r="I1" s="55"/>
      <c r="J1" s="55"/>
      <c r="K1" s="55"/>
      <c r="L1" s="55"/>
      <c r="M1" s="55"/>
      <c r="N1" s="55"/>
      <c r="O1" s="55"/>
      <c r="P1" s="55"/>
      <c r="Q1" s="55"/>
      <c r="R1" s="55"/>
      <c r="S1" s="55"/>
      <c r="T1" s="55"/>
      <c r="U1" s="55"/>
      <c r="V1" s="55"/>
      <c r="W1" s="55"/>
      <c r="X1" s="57" t="str">
        <f>"Ver."&amp;VLOOKUP("〇",Version!$A$4:$B$26,2,TRUE)</f>
        <v>Ver.1.8</v>
      </c>
      <c r="Y1" s="55"/>
      <c r="Z1" s="55"/>
      <c r="AA1" s="218"/>
      <c r="AB1" s="66" t="s">
        <v>358</v>
      </c>
      <c r="AC1" s="39"/>
      <c r="AD1" s="39"/>
      <c r="AE1" s="39"/>
      <c r="AF1" s="39"/>
      <c r="AG1" s="39"/>
      <c r="AH1" s="39"/>
      <c r="AI1" s="41"/>
      <c r="AJ1" s="39"/>
      <c r="AK1" s="39"/>
    </row>
    <row r="2" spans="1:37" s="59" customFormat="1" ht="18.75" customHeight="1">
      <c r="A2" s="176"/>
      <c r="B2" s="72" t="s">
        <v>156</v>
      </c>
      <c r="C2" s="72"/>
      <c r="D2" s="75"/>
      <c r="E2" s="75"/>
      <c r="F2" s="75"/>
      <c r="G2" s="72" t="s">
        <v>66</v>
      </c>
      <c r="H2" s="75"/>
      <c r="I2" s="75"/>
      <c r="J2" s="75"/>
      <c r="K2" s="75"/>
      <c r="L2" s="75"/>
      <c r="M2" s="75"/>
      <c r="N2" s="75"/>
      <c r="O2" s="72" t="s">
        <v>170</v>
      </c>
      <c r="P2" s="75"/>
      <c r="Q2" s="75"/>
      <c r="R2" s="75"/>
      <c r="S2" s="75"/>
      <c r="T2" s="75"/>
      <c r="U2" s="75"/>
      <c r="V2" s="75"/>
      <c r="W2" s="75"/>
      <c r="X2" s="75"/>
      <c r="Y2" s="75"/>
      <c r="Z2" s="75"/>
      <c r="AA2" s="219"/>
      <c r="AB2" s="67"/>
      <c r="AC2" s="64"/>
      <c r="AD2" s="64"/>
      <c r="AE2" s="64"/>
      <c r="AF2" s="64"/>
      <c r="AG2" s="64"/>
      <c r="AH2" s="64"/>
      <c r="AI2" s="65"/>
      <c r="AJ2" s="64"/>
      <c r="AK2" s="64"/>
    </row>
    <row r="3" spans="1:37" s="59" customFormat="1" ht="18.75" customHeight="1">
      <c r="A3" s="176"/>
      <c r="B3" s="76" t="s">
        <v>430</v>
      </c>
      <c r="C3" s="77"/>
      <c r="D3" s="77"/>
      <c r="E3" s="77"/>
      <c r="F3" s="75"/>
      <c r="G3" s="76" t="s">
        <v>345</v>
      </c>
      <c r="H3" s="77"/>
      <c r="I3" s="77"/>
      <c r="J3" s="77"/>
      <c r="K3" s="75"/>
      <c r="L3" s="75"/>
      <c r="M3" s="75"/>
      <c r="N3" s="75"/>
      <c r="O3" s="76" t="s">
        <v>376</v>
      </c>
      <c r="P3" s="77"/>
      <c r="Q3" s="77"/>
      <c r="R3" s="75"/>
      <c r="S3" s="75"/>
      <c r="T3" s="75"/>
      <c r="U3" s="72"/>
      <c r="V3" s="75"/>
      <c r="W3" s="75"/>
      <c r="X3" s="75"/>
      <c r="Y3" s="75"/>
      <c r="Z3" s="75"/>
      <c r="AA3" s="219"/>
      <c r="AB3" s="67"/>
      <c r="AC3" s="64"/>
      <c r="AD3" s="64"/>
      <c r="AE3" s="64"/>
      <c r="AF3" s="64"/>
      <c r="AG3" s="64"/>
      <c r="AH3" s="64"/>
      <c r="AI3" s="65"/>
      <c r="AJ3" s="64"/>
      <c r="AK3" s="64"/>
    </row>
    <row r="4" spans="1:37" ht="18.75" customHeight="1">
      <c r="A4" s="55"/>
      <c r="B4" s="55"/>
      <c r="C4" s="55"/>
      <c r="D4" s="55"/>
      <c r="E4" s="55"/>
      <c r="F4" s="55"/>
      <c r="G4" s="55"/>
      <c r="H4" s="55"/>
      <c r="I4" s="199" t="s">
        <v>74</v>
      </c>
      <c r="J4" s="200" t="s">
        <v>582</v>
      </c>
      <c r="K4" s="78"/>
      <c r="L4" s="78"/>
      <c r="M4" s="78"/>
      <c r="N4" s="78"/>
      <c r="O4" s="55"/>
      <c r="P4" s="84"/>
      <c r="Q4" s="55"/>
      <c r="R4" s="55"/>
      <c r="S4" s="55"/>
      <c r="T4" s="55"/>
      <c r="U4" s="55"/>
      <c r="V4" s="55"/>
      <c r="W4" s="55"/>
      <c r="X4" s="55"/>
      <c r="Y4" s="55"/>
      <c r="Z4" s="55"/>
      <c r="AA4" s="220"/>
      <c r="AB4" s="66"/>
      <c r="AC4" s="39"/>
      <c r="AD4" s="39"/>
      <c r="AE4" s="39"/>
      <c r="AF4" s="39"/>
      <c r="AG4" s="39"/>
      <c r="AH4" s="39"/>
      <c r="AI4" s="41"/>
      <c r="AJ4" s="39"/>
      <c r="AK4" s="39"/>
    </row>
    <row r="5" spans="1:37" ht="18.75" customHeight="1">
      <c r="A5" s="55"/>
      <c r="B5" s="55"/>
      <c r="C5" s="58" t="s">
        <v>425</v>
      </c>
      <c r="D5" s="55"/>
      <c r="E5" s="55"/>
      <c r="F5" s="55"/>
      <c r="G5" s="55"/>
      <c r="H5" s="57"/>
      <c r="I5" s="199"/>
      <c r="J5" s="201"/>
      <c r="K5" s="55"/>
      <c r="L5" s="55"/>
      <c r="M5" s="55"/>
      <c r="N5" s="55"/>
      <c r="O5" s="55"/>
      <c r="P5" s="84" t="s">
        <v>382</v>
      </c>
      <c r="Q5" s="87" t="str">
        <f>IF($J$4=Choices!$B$26,$AD$61,IF($J$4=Choices!$B$27,$AE$61,IF($J$4=Choices!$B$28,$AF$61,IF($J$4=Choices!$B$29,$AG$61,""))))</f>
        <v>分散型井戸への転換</v>
      </c>
      <c r="R5" s="55"/>
      <c r="S5" s="55"/>
      <c r="T5" s="55"/>
      <c r="U5" s="55"/>
      <c r="V5" s="55"/>
      <c r="W5" s="72" t="s">
        <v>375</v>
      </c>
      <c r="X5" s="56"/>
      <c r="Y5" s="55"/>
      <c r="Z5" s="55"/>
      <c r="AA5" s="220"/>
      <c r="AB5" s="66"/>
      <c r="AC5" s="39"/>
      <c r="AD5" s="41"/>
      <c r="AE5" s="41"/>
      <c r="AF5" s="41"/>
      <c r="AG5" s="39"/>
      <c r="AH5" s="39"/>
      <c r="AI5" s="41"/>
      <c r="AJ5" s="39"/>
      <c r="AK5" s="39"/>
    </row>
    <row r="6" spans="1:37" ht="18.75" customHeight="1">
      <c r="A6" s="55"/>
      <c r="B6" s="55"/>
      <c r="C6" s="155" t="b">
        <v>0</v>
      </c>
      <c r="D6" s="118"/>
      <c r="E6" s="118"/>
      <c r="F6" s="55"/>
      <c r="G6" s="55"/>
      <c r="H6" s="57"/>
      <c r="I6" s="55"/>
      <c r="J6" s="55"/>
      <c r="K6" s="55"/>
      <c r="L6" s="55"/>
      <c r="M6" s="55"/>
      <c r="N6" s="55"/>
      <c r="O6" s="55"/>
      <c r="P6" s="84" t="s">
        <v>175</v>
      </c>
      <c r="Q6" s="87" t="str">
        <f>IF(OR($AD$62=1,$AE$62=1,$AF$62=1),$AC$62,IF(OR($AD$63=1,$AE$63=1,$AF$63=1),$AC$63,IF(OR($AD$64=1,$AE$64=1,$AF$64=1),$AC$64,IF(OR($AD$65=1,$AE$65=1,$AF$65=1),$AC$65,IF(OR($AD$66=1,$AE$66=1,AF66=1),$AC$66,IF($AG$67=1,$AC$67,""))))))</f>
        <v>飲用井戸</v>
      </c>
      <c r="R6" s="55"/>
      <c r="S6" s="55"/>
      <c r="T6" s="55"/>
      <c r="U6" s="55"/>
      <c r="V6" s="55"/>
      <c r="W6" s="84" t="s">
        <v>115</v>
      </c>
      <c r="X6" s="92">
        <f>IF($J$4=Choices!$B$26,($J$64+$J$68)/1000,IF(OR($J$4=Choices!$B$27,$J$4=Choices!$B$28),0,IF($J$4=Choices!$B$29,($X$60+$X$63+$X$67+$X$70)/1000,"")))</f>
        <v>45850</v>
      </c>
      <c r="Y6" s="55"/>
      <c r="Z6" s="55"/>
      <c r="AA6" s="220"/>
      <c r="AB6" s="66"/>
      <c r="AC6" s="39"/>
      <c r="AD6" s="39"/>
      <c r="AE6" s="39"/>
      <c r="AF6" s="39"/>
      <c r="AG6" s="39"/>
      <c r="AH6" s="39"/>
      <c r="AI6" s="41"/>
      <c r="AJ6" s="39"/>
      <c r="AK6" s="39"/>
    </row>
    <row r="7" spans="1:37" ht="18.75" customHeight="1">
      <c r="A7" s="55"/>
      <c r="B7" s="55"/>
      <c r="C7" s="155" t="b">
        <v>1</v>
      </c>
      <c r="D7" s="118" t="s">
        <v>424</v>
      </c>
      <c r="E7" s="118"/>
      <c r="F7" s="55"/>
      <c r="G7" s="55"/>
      <c r="H7" s="57"/>
      <c r="I7" s="55"/>
      <c r="J7" s="55"/>
      <c r="K7" s="55"/>
      <c r="L7" s="55"/>
      <c r="M7" s="55"/>
      <c r="N7" s="55"/>
      <c r="O7" s="55"/>
      <c r="P7" s="84" t="s">
        <v>418</v>
      </c>
      <c r="Q7" s="88">
        <f>IF($Q$6&lt;&gt;"",IF($Q$5=$AD$61,$J$73,IF($Q$5=$AE$61,$Q$73,IF($Q$5=$AF$61,0,IF($Q$5=$AG$61,$X$73,0)))),NA())</f>
        <v>50850</v>
      </c>
      <c r="R7" s="72" t="s">
        <v>416</v>
      </c>
      <c r="S7" s="55"/>
      <c r="T7" s="55"/>
      <c r="U7" s="55"/>
      <c r="V7" s="55"/>
      <c r="W7" s="84" t="s">
        <v>107</v>
      </c>
      <c r="X7" s="92">
        <f>IF($J$4=Choices!$B$26,($J$65+$J$69)/1000,IF(OR($J$4=Choices!$B$27,$J$4=Choices!$B$28),0,IF($J$4=Choices!$B$29,$X$64/1000,"")))</f>
        <v>0</v>
      </c>
      <c r="Y7" s="55"/>
      <c r="Z7" s="55"/>
      <c r="AA7" s="220"/>
      <c r="AB7" s="66"/>
      <c r="AC7" s="39"/>
      <c r="AD7" s="39"/>
      <c r="AE7" s="39"/>
      <c r="AF7" s="39"/>
      <c r="AG7" s="39"/>
      <c r="AH7" s="39"/>
      <c r="AI7" s="41"/>
      <c r="AJ7" s="39"/>
      <c r="AK7" s="39"/>
    </row>
    <row r="8" spans="1:37" ht="18.75" customHeight="1">
      <c r="A8" s="55"/>
      <c r="B8" s="55"/>
      <c r="C8" s="55"/>
      <c r="D8" s="55"/>
      <c r="E8" s="55"/>
      <c r="F8" s="55"/>
      <c r="G8" s="55"/>
      <c r="H8" s="57"/>
      <c r="I8" s="55"/>
      <c r="J8" s="55"/>
      <c r="K8" s="55"/>
      <c r="L8" s="55"/>
      <c r="M8" s="55"/>
      <c r="N8" s="55"/>
      <c r="O8" s="55"/>
      <c r="P8" s="84" t="s">
        <v>412</v>
      </c>
      <c r="Q8" s="89">
        <f>IF($F$67=2,NA(),INDEX($AD$70:$AG$74,MATCH($Q$6,$AC$70:$AC$74,0),MATCH($Q$5,$AD$69:$AG$69,0)))</f>
        <v>139.6</v>
      </c>
      <c r="R8" s="72" t="s">
        <v>417</v>
      </c>
      <c r="S8" s="55"/>
      <c r="T8" s="55"/>
      <c r="U8" s="55"/>
      <c r="V8" s="55"/>
      <c r="W8" s="84" t="s">
        <v>374</v>
      </c>
      <c r="X8" s="92">
        <f>IF($J$4=Choices!$B$26,($J$66+$J$67+$J$70+$J$71)/1000,IF(OR($J$4=Choices!$B$27,$J$4=Choices!$B$28),($Q$64+$Q$65)/1000,IF($J$4=Choices!$B$29,0,"")))</f>
        <v>0</v>
      </c>
      <c r="Y8" s="55"/>
      <c r="Z8" s="55"/>
      <c r="AA8" s="220"/>
      <c r="AB8" s="66"/>
      <c r="AC8" s="39"/>
      <c r="AD8" s="39"/>
      <c r="AE8" s="39"/>
      <c r="AF8" s="39"/>
      <c r="AG8" s="39"/>
      <c r="AH8" s="39"/>
      <c r="AI8" s="41"/>
      <c r="AJ8" s="39"/>
      <c r="AK8" s="39"/>
    </row>
    <row r="9" spans="1:37" ht="18.75" customHeight="1">
      <c r="A9" s="55"/>
      <c r="B9" s="75"/>
      <c r="C9" s="55"/>
      <c r="D9" s="55"/>
      <c r="E9" s="55"/>
      <c r="F9" s="55"/>
      <c r="G9" s="55"/>
      <c r="H9" s="55"/>
      <c r="I9" s="55"/>
      <c r="J9" s="55"/>
      <c r="K9" s="55"/>
      <c r="L9" s="55"/>
      <c r="M9" s="55"/>
      <c r="N9" s="55"/>
      <c r="O9" s="55"/>
      <c r="P9" s="84" t="s">
        <v>411</v>
      </c>
      <c r="Q9" s="89">
        <f>IF(OR($AE$62=1,$AE$63=1,$AE$64=1,$AE$65=1,$AF$62=1,$AF$63=1,$AF$64=1,$AF$65=1),$Q$8*$E$25/($E$25+$Q$25),$Q$8)</f>
        <v>139.6</v>
      </c>
      <c r="R9" s="72" t="s">
        <v>417</v>
      </c>
      <c r="S9" s="55"/>
      <c r="T9" s="55"/>
      <c r="U9" s="55"/>
      <c r="V9" s="55"/>
      <c r="W9" s="84" t="s">
        <v>83</v>
      </c>
      <c r="X9" s="92">
        <f>IF($J$4=Choices!$B$26,SUM($J$60:$J$63)/1000,IF(OR($J$4=Choices!$B$27,$J$4=Choices!$B$28),SUM($Q$61:$Q$63)/1000,IF($J$4=Choices!$B$29,($X$61+$X$65+$X$68+$X$71)/1000,"")))</f>
        <v>5000</v>
      </c>
      <c r="Y9" s="55"/>
      <c r="Z9" s="55"/>
      <c r="AA9" s="220"/>
      <c r="AB9" s="66"/>
      <c r="AC9" s="39"/>
      <c r="AD9" s="39"/>
      <c r="AE9" s="39"/>
      <c r="AF9" s="39"/>
      <c r="AG9" s="39"/>
      <c r="AH9" s="39"/>
      <c r="AI9" s="39"/>
      <c r="AJ9" s="39"/>
      <c r="AK9" s="39"/>
    </row>
    <row r="10" spans="1:37" ht="18.75" customHeight="1">
      <c r="A10" s="55"/>
      <c r="B10" s="55"/>
      <c r="C10" s="72" t="s">
        <v>429</v>
      </c>
      <c r="D10" s="55"/>
      <c r="E10" s="55"/>
      <c r="F10" s="55"/>
      <c r="G10" s="55"/>
      <c r="H10" s="55"/>
      <c r="I10" s="55"/>
      <c r="J10" s="55"/>
      <c r="K10" s="55"/>
      <c r="L10" s="55"/>
      <c r="M10" s="55"/>
      <c r="N10" s="55"/>
      <c r="O10" s="55"/>
      <c r="P10" s="60"/>
      <c r="Q10" s="60"/>
      <c r="R10" s="55"/>
      <c r="S10" s="55"/>
      <c r="T10" s="55"/>
      <c r="U10" s="55"/>
      <c r="V10" s="55"/>
      <c r="W10" s="72"/>
      <c r="X10" s="83"/>
      <c r="Y10" s="55"/>
      <c r="Z10" s="55"/>
      <c r="AA10" s="220"/>
      <c r="AB10" s="66"/>
      <c r="AC10" s="39"/>
      <c r="AD10" s="39"/>
      <c r="AE10" s="39"/>
      <c r="AF10" s="39"/>
      <c r="AG10" s="39"/>
      <c r="AH10" s="39"/>
      <c r="AI10" s="39"/>
      <c r="AJ10" s="39"/>
      <c r="AK10" s="39"/>
    </row>
    <row r="11" spans="1:37" ht="18.75" customHeight="1">
      <c r="A11" s="55"/>
      <c r="B11" s="55"/>
      <c r="C11" s="74" t="s">
        <v>428</v>
      </c>
      <c r="D11" s="55"/>
      <c r="E11" s="55"/>
      <c r="F11" s="55"/>
      <c r="G11" s="55"/>
      <c r="H11" s="55"/>
      <c r="I11" s="55"/>
      <c r="J11" s="55"/>
      <c r="K11" s="55"/>
      <c r="L11" s="55"/>
      <c r="M11" s="55"/>
      <c r="N11" s="55"/>
      <c r="O11" s="55"/>
      <c r="P11" s="84" t="s">
        <v>252</v>
      </c>
      <c r="Q11" s="202" t="str">
        <f>_xlfn.TEXTJOIN(CHAR(10),TRUE,AD21:AD40)</f>
        <v>・各家庭に設置する井戸は，原則として個人所有の飲用井戸として扱われます．飲用井戸の基準等については，自治体および近隣の保健所にお問い合わせください．
・初期コストは，当該地域全体における井戸設置費用の合計を算出しています．個別の井戸設置費用は掘削条件等により異なります．
・年間コストは，主に井戸ポンプの電気代と水質検査費用です．電気代は，標準的なポンプ仕様や水の使用量の場合を想定して算出し，当該地域分を合算して表示しています．</v>
      </c>
      <c r="R11" s="203"/>
      <c r="S11" s="203"/>
      <c r="T11" s="203"/>
      <c r="U11" s="203"/>
      <c r="V11" s="203"/>
      <c r="W11" s="203"/>
      <c r="X11" s="203"/>
      <c r="Y11" s="204"/>
      <c r="Z11" s="55"/>
      <c r="AA11" s="220"/>
      <c r="AB11" s="66"/>
      <c r="AC11" s="42" t="s">
        <v>593</v>
      </c>
      <c r="AD11" s="39"/>
      <c r="AE11" s="39"/>
      <c r="AF11" s="39"/>
      <c r="AG11" s="39"/>
      <c r="AH11" s="39"/>
      <c r="AI11" s="39"/>
      <c r="AJ11" s="39"/>
      <c r="AK11" s="39"/>
    </row>
    <row r="12" spans="1:37" ht="18.75" customHeight="1">
      <c r="A12" s="55"/>
      <c r="B12" s="55"/>
      <c r="C12" s="55"/>
      <c r="D12" s="122" t="s">
        <v>426</v>
      </c>
      <c r="E12" s="79"/>
      <c r="F12" s="55"/>
      <c r="G12" s="55"/>
      <c r="H12" s="55"/>
      <c r="I12" s="55"/>
      <c r="J12" s="55"/>
      <c r="K12" s="55"/>
      <c r="L12" s="55"/>
      <c r="M12" s="55"/>
      <c r="N12" s="55"/>
      <c r="O12" s="55"/>
      <c r="P12" s="55"/>
      <c r="Q12" s="205"/>
      <c r="R12" s="206"/>
      <c r="S12" s="206"/>
      <c r="T12" s="206"/>
      <c r="U12" s="206"/>
      <c r="V12" s="206"/>
      <c r="W12" s="206"/>
      <c r="X12" s="206"/>
      <c r="Y12" s="207"/>
      <c r="Z12" s="55"/>
      <c r="AA12" s="220"/>
      <c r="AB12" s="66"/>
      <c r="AC12" s="44" t="s">
        <v>594</v>
      </c>
      <c r="AD12" s="171" t="str">
        <f>$E$104</f>
        <v>・現状の年間コストは推計値です．実績値がある場合はそちらを参考にしてください．</v>
      </c>
      <c r="AE12" s="39"/>
      <c r="AF12" s="39"/>
      <c r="AG12" s="39"/>
      <c r="AH12" s="39"/>
      <c r="AI12" s="39"/>
      <c r="AJ12" s="39"/>
      <c r="AK12" s="39"/>
    </row>
    <row r="13" spans="1:37" s="59" customFormat="1" ht="18.75" customHeight="1">
      <c r="A13" s="176"/>
      <c r="B13" s="55"/>
      <c r="C13" s="55"/>
      <c r="D13" s="211" t="s">
        <v>427</v>
      </c>
      <c r="E13" s="80" t="s">
        <v>249</v>
      </c>
      <c r="F13" s="55"/>
      <c r="G13" s="55"/>
      <c r="H13" s="55"/>
      <c r="I13" s="55"/>
      <c r="J13" s="55"/>
      <c r="K13" s="55"/>
      <c r="L13" s="55"/>
      <c r="M13" s="55"/>
      <c r="N13" s="55"/>
      <c r="O13" s="55"/>
      <c r="P13" s="55"/>
      <c r="Q13" s="205"/>
      <c r="R13" s="206"/>
      <c r="S13" s="206"/>
      <c r="T13" s="206"/>
      <c r="U13" s="206"/>
      <c r="V13" s="206"/>
      <c r="W13" s="206"/>
      <c r="X13" s="206"/>
      <c r="Y13" s="207"/>
      <c r="Z13" s="55"/>
      <c r="AA13" s="220"/>
      <c r="AB13" s="66"/>
      <c r="AC13" s="44" t="s">
        <v>591</v>
      </c>
      <c r="AD13" s="171" t="str">
        <f>IF($F$76=1,$E$105,"")</f>
        <v/>
      </c>
      <c r="AE13" s="39"/>
      <c r="AF13" s="64"/>
      <c r="AG13" s="64"/>
      <c r="AH13" s="64"/>
      <c r="AI13" s="65"/>
      <c r="AJ13" s="64"/>
      <c r="AK13" s="64"/>
    </row>
    <row r="14" spans="1:37" s="59" customFormat="1" ht="18.75" customHeight="1">
      <c r="A14" s="176"/>
      <c r="B14" s="55"/>
      <c r="C14" s="55"/>
      <c r="D14" s="212"/>
      <c r="E14" s="81" t="s">
        <v>250</v>
      </c>
      <c r="F14" s="55"/>
      <c r="G14" s="55"/>
      <c r="H14" s="55"/>
      <c r="I14" s="55"/>
      <c r="J14" s="55"/>
      <c r="K14" s="55"/>
      <c r="L14" s="55"/>
      <c r="M14" s="55"/>
      <c r="N14" s="55"/>
      <c r="O14" s="55"/>
      <c r="P14" s="55"/>
      <c r="Q14" s="205"/>
      <c r="R14" s="206"/>
      <c r="S14" s="206"/>
      <c r="T14" s="206"/>
      <c r="U14" s="206"/>
      <c r="V14" s="206"/>
      <c r="W14" s="206"/>
      <c r="X14" s="206"/>
      <c r="Y14" s="207"/>
      <c r="Z14" s="55"/>
      <c r="AA14" s="220"/>
      <c r="AB14" s="66"/>
      <c r="AC14" s="39"/>
      <c r="AD14" s="39"/>
      <c r="AE14" s="39"/>
      <c r="AF14" s="64"/>
      <c r="AG14" s="64"/>
      <c r="AH14" s="64"/>
      <c r="AI14" s="65"/>
      <c r="AJ14" s="64"/>
      <c r="AK14" s="64"/>
    </row>
    <row r="15" spans="1:37" ht="18.75" customHeight="1">
      <c r="A15" s="55"/>
      <c r="B15" s="55"/>
      <c r="C15" s="55"/>
      <c r="D15" s="213"/>
      <c r="E15" s="82" t="s">
        <v>248</v>
      </c>
      <c r="F15" s="55"/>
      <c r="G15" s="55"/>
      <c r="H15" s="55"/>
      <c r="I15" s="55"/>
      <c r="J15" s="55"/>
      <c r="K15" s="55"/>
      <c r="L15" s="55"/>
      <c r="M15" s="55"/>
      <c r="N15" s="55"/>
      <c r="O15" s="55"/>
      <c r="P15" s="55"/>
      <c r="Q15" s="205"/>
      <c r="R15" s="206"/>
      <c r="S15" s="206"/>
      <c r="T15" s="206"/>
      <c r="U15" s="206"/>
      <c r="V15" s="206"/>
      <c r="W15" s="206"/>
      <c r="X15" s="206"/>
      <c r="Y15" s="207"/>
      <c r="Z15" s="55"/>
      <c r="AA15" s="220"/>
      <c r="AB15" s="66"/>
      <c r="AC15" s="39"/>
      <c r="AD15" s="39"/>
      <c r="AE15" s="39"/>
      <c r="AF15" s="39"/>
      <c r="AG15" s="39"/>
      <c r="AH15" s="39"/>
      <c r="AI15" s="41"/>
      <c r="AJ15" s="39"/>
      <c r="AK15" s="68"/>
    </row>
    <row r="16" spans="1:37" ht="18.75" customHeight="1">
      <c r="A16" s="55"/>
      <c r="B16" s="55"/>
      <c r="C16" s="55"/>
      <c r="D16" s="86"/>
      <c r="E16" s="72"/>
      <c r="F16" s="55"/>
      <c r="G16" s="55"/>
      <c r="H16" s="55"/>
      <c r="I16" s="55"/>
      <c r="J16" s="55"/>
      <c r="K16" s="55"/>
      <c r="L16" s="55"/>
      <c r="M16" s="55"/>
      <c r="N16" s="55"/>
      <c r="O16" s="55"/>
      <c r="P16" s="55"/>
      <c r="Q16" s="205"/>
      <c r="R16" s="206"/>
      <c r="S16" s="206"/>
      <c r="T16" s="206"/>
      <c r="U16" s="206"/>
      <c r="V16" s="206"/>
      <c r="W16" s="206"/>
      <c r="X16" s="206"/>
      <c r="Y16" s="207"/>
      <c r="Z16" s="55"/>
      <c r="AA16" s="220"/>
      <c r="AB16" s="66"/>
      <c r="AC16" s="39"/>
      <c r="AD16" s="39"/>
      <c r="AE16" s="39"/>
      <c r="AF16" s="39"/>
      <c r="AG16" s="39"/>
      <c r="AH16" s="39"/>
      <c r="AI16" s="41"/>
      <c r="AJ16" s="39"/>
      <c r="AK16" s="68"/>
    </row>
    <row r="17" spans="1:37" ht="18.75" customHeight="1">
      <c r="A17" s="55"/>
      <c r="B17" s="55"/>
      <c r="C17" s="55"/>
      <c r="D17" s="86"/>
      <c r="E17" s="72"/>
      <c r="F17" s="55"/>
      <c r="G17" s="55"/>
      <c r="H17" s="55"/>
      <c r="I17" s="55"/>
      <c r="J17" s="55"/>
      <c r="K17" s="55"/>
      <c r="L17" s="55"/>
      <c r="M17" s="55"/>
      <c r="N17" s="55"/>
      <c r="O17" s="55"/>
      <c r="P17" s="55"/>
      <c r="Q17" s="208"/>
      <c r="R17" s="209"/>
      <c r="S17" s="209"/>
      <c r="T17" s="209"/>
      <c r="U17" s="209"/>
      <c r="V17" s="209"/>
      <c r="W17" s="209"/>
      <c r="X17" s="209"/>
      <c r="Y17" s="210"/>
      <c r="Z17" s="55"/>
      <c r="AA17" s="220"/>
      <c r="AB17" s="66"/>
      <c r="AC17" s="39"/>
      <c r="AD17" s="39"/>
      <c r="AE17" s="39"/>
      <c r="AF17" s="39"/>
      <c r="AG17" s="39"/>
      <c r="AH17" s="39"/>
      <c r="AI17" s="39"/>
      <c r="AJ17" s="39"/>
      <c r="AK17" s="68"/>
    </row>
    <row r="18" spans="1:37" ht="18.75" customHeight="1">
      <c r="A18" s="55"/>
      <c r="B18" s="55"/>
      <c r="C18" s="55"/>
      <c r="D18" s="55"/>
      <c r="E18" s="55"/>
      <c r="F18" s="55"/>
      <c r="G18" s="55"/>
      <c r="H18" s="55"/>
      <c r="I18" s="55"/>
      <c r="J18" s="55"/>
      <c r="K18" s="55"/>
      <c r="L18" s="55"/>
      <c r="M18" s="55"/>
      <c r="N18" s="55"/>
      <c r="O18" s="55"/>
      <c r="P18" s="55"/>
      <c r="Q18" s="55"/>
      <c r="R18" s="55"/>
      <c r="S18" s="55"/>
      <c r="T18" s="55"/>
      <c r="U18" s="55"/>
      <c r="V18" s="55"/>
      <c r="W18" s="72"/>
      <c r="X18" s="83"/>
      <c r="Y18" s="55"/>
      <c r="Z18" s="55"/>
      <c r="AA18" s="220"/>
      <c r="AB18" s="66"/>
      <c r="AC18" s="39"/>
      <c r="AD18" s="39"/>
      <c r="AE18" s="39"/>
      <c r="AF18" s="39"/>
      <c r="AG18" s="39"/>
      <c r="AH18" s="39"/>
      <c r="AI18" s="41"/>
      <c r="AJ18" s="39"/>
      <c r="AK18" s="68"/>
    </row>
    <row r="19" spans="1:37" ht="18.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219"/>
      <c r="AB19" s="67"/>
      <c r="AC19" s="64"/>
      <c r="AD19" s="64"/>
      <c r="AE19" s="64"/>
      <c r="AF19" s="39"/>
      <c r="AG19" s="39"/>
      <c r="AH19" s="39"/>
      <c r="AI19" s="41"/>
      <c r="AJ19" s="39"/>
      <c r="AK19" s="68"/>
    </row>
    <row r="20" spans="1:37" ht="18.75" customHeight="1">
      <c r="A20" s="55"/>
      <c r="B20" s="75"/>
      <c r="C20" s="75"/>
      <c r="D20" s="75"/>
      <c r="E20" s="75"/>
      <c r="F20" s="75"/>
      <c r="G20" s="75"/>
      <c r="H20" s="72" t="s">
        <v>157</v>
      </c>
      <c r="I20" s="75"/>
      <c r="J20" s="75"/>
      <c r="K20" s="75"/>
      <c r="L20" s="75"/>
      <c r="M20" s="75"/>
      <c r="N20" s="75"/>
      <c r="O20" s="72" t="s">
        <v>583</v>
      </c>
      <c r="P20" s="75"/>
      <c r="Q20" s="75"/>
      <c r="R20" s="75"/>
      <c r="S20" s="75"/>
      <c r="T20" s="75"/>
      <c r="U20" s="75"/>
      <c r="V20" s="72" t="s">
        <v>312</v>
      </c>
      <c r="W20" s="75"/>
      <c r="X20" s="75"/>
      <c r="Y20" s="75"/>
      <c r="Z20" s="75"/>
      <c r="AA20" s="219"/>
      <c r="AB20" s="67"/>
      <c r="AC20" s="169" t="s">
        <v>592</v>
      </c>
      <c r="AD20" s="170"/>
      <c r="AE20" s="70"/>
      <c r="AF20" s="39"/>
      <c r="AG20" s="39"/>
      <c r="AH20" s="39"/>
      <c r="AI20" s="41"/>
      <c r="AJ20" s="39"/>
      <c r="AK20" s="68"/>
    </row>
    <row r="21" spans="1:37" ht="18.75" customHeight="1">
      <c r="A21" s="55"/>
      <c r="B21" s="76" t="s">
        <v>344</v>
      </c>
      <c r="C21" s="77"/>
      <c r="D21" s="77"/>
      <c r="E21" s="77"/>
      <c r="F21" s="75"/>
      <c r="G21" s="76" t="s">
        <v>346</v>
      </c>
      <c r="H21" s="77"/>
      <c r="I21" s="77"/>
      <c r="J21" s="77"/>
      <c r="K21" s="75"/>
      <c r="L21" s="75"/>
      <c r="M21" s="75"/>
      <c r="N21" s="76" t="s">
        <v>645</v>
      </c>
      <c r="O21" s="77"/>
      <c r="P21" s="77"/>
      <c r="Q21" s="77"/>
      <c r="R21" s="75"/>
      <c r="S21" s="75"/>
      <c r="T21" s="75"/>
      <c r="U21" s="76" t="s">
        <v>347</v>
      </c>
      <c r="V21" s="77"/>
      <c r="W21" s="77"/>
      <c r="X21" s="77"/>
      <c r="Y21" s="75"/>
      <c r="Z21" s="75"/>
      <c r="AA21" s="220"/>
      <c r="AB21" s="69"/>
      <c r="AC21" s="167" t="s">
        <v>268</v>
      </c>
      <c r="AD21" s="168" t="str">
        <f>IF($F$65=1,$E$79,"")</f>
        <v/>
      </c>
      <c r="AE21" s="39"/>
      <c r="AF21" s="39"/>
      <c r="AG21" s="39"/>
      <c r="AH21" s="39"/>
      <c r="AI21" s="41"/>
      <c r="AJ21" s="39"/>
      <c r="AK21" s="68"/>
    </row>
    <row r="22" spans="1:37" ht="18.75" customHeight="1">
      <c r="A22" s="55"/>
      <c r="B22" s="55"/>
      <c r="C22" s="72" t="s">
        <v>158</v>
      </c>
      <c r="D22" s="74"/>
      <c r="E22" s="55"/>
      <c r="F22" s="55"/>
      <c r="G22" s="55"/>
      <c r="H22" s="72" t="s">
        <v>575</v>
      </c>
      <c r="I22" s="72"/>
      <c r="J22" s="55"/>
      <c r="K22" s="55"/>
      <c r="L22" s="55"/>
      <c r="M22" s="55"/>
      <c r="N22" s="55"/>
      <c r="O22" s="72" t="s">
        <v>647</v>
      </c>
      <c r="P22" s="72"/>
      <c r="Q22" s="72"/>
      <c r="R22" s="55"/>
      <c r="S22" s="55"/>
      <c r="T22" s="55"/>
      <c r="U22" s="55"/>
      <c r="V22" s="72" t="s">
        <v>313</v>
      </c>
      <c r="W22" s="72"/>
      <c r="X22" s="55"/>
      <c r="Y22" s="55"/>
      <c r="Z22" s="55"/>
      <c r="AA22" s="220"/>
      <c r="AB22" s="69"/>
      <c r="AC22" s="44" t="s">
        <v>267</v>
      </c>
      <c r="AD22" s="115" t="str">
        <f>IF($F$65=1,$E$80,"")</f>
        <v/>
      </c>
      <c r="AE22" s="39"/>
      <c r="AF22" s="39"/>
      <c r="AG22" s="39"/>
      <c r="AH22" s="39"/>
      <c r="AI22" s="41"/>
      <c r="AJ22" s="39"/>
      <c r="AK22" s="68"/>
    </row>
    <row r="23" spans="1:37" ht="18.75" customHeight="1">
      <c r="A23" s="55"/>
      <c r="B23" s="55"/>
      <c r="C23" s="72"/>
      <c r="D23" s="72" t="s">
        <v>160</v>
      </c>
      <c r="E23" s="93" t="str">
        <f>IF(シナリオ1!E23="","",シナリオ1!E23)</f>
        <v>その他</v>
      </c>
      <c r="F23" s="55"/>
      <c r="G23" s="55"/>
      <c r="H23" s="72"/>
      <c r="I23" s="72" t="s">
        <v>67</v>
      </c>
      <c r="J23" s="94"/>
      <c r="K23" s="55"/>
      <c r="L23" s="55"/>
      <c r="M23" s="55"/>
      <c r="N23" s="55"/>
      <c r="O23" s="72"/>
      <c r="P23" s="72" t="s">
        <v>67</v>
      </c>
      <c r="Q23" s="94"/>
      <c r="R23" s="55"/>
      <c r="S23" s="55"/>
      <c r="T23" s="55"/>
      <c r="U23" s="55"/>
      <c r="V23" s="72"/>
      <c r="W23" s="72" t="s">
        <v>67</v>
      </c>
      <c r="X23" s="93" t="str">
        <f>IF($J$4=Choices!$B$29,"飲用井戸","")</f>
        <v>飲用井戸</v>
      </c>
      <c r="Y23" s="55"/>
      <c r="Z23" s="55"/>
      <c r="AA23" s="220"/>
      <c r="AB23" s="69"/>
      <c r="AC23" s="44" t="s">
        <v>604</v>
      </c>
      <c r="AD23" s="115" t="str">
        <f>_xlfn.IFS(AND($F$62=3,$F$63=2),$E$81,AND($F$62=3,$F$63=1,$F$64=1,$F$67=1),$E$81,$F$61=3,$E$81,TRUE,"")</f>
        <v/>
      </c>
      <c r="AE23" s="39"/>
      <c r="AF23" s="39"/>
      <c r="AG23" s="39"/>
      <c r="AH23" s="39"/>
      <c r="AI23" s="39"/>
      <c r="AJ23" s="39"/>
      <c r="AK23" s="68"/>
    </row>
    <row r="24" spans="1:37" ht="18.75" customHeight="1">
      <c r="A24" s="55"/>
      <c r="B24" s="55"/>
      <c r="C24" s="72"/>
      <c r="D24" s="72" t="s">
        <v>161</v>
      </c>
      <c r="E24" s="93">
        <f>IF(シナリオ1!E24="","",シナリオ1!E24)</f>
        <v>200</v>
      </c>
      <c r="F24" s="72" t="s">
        <v>299</v>
      </c>
      <c r="G24" s="55"/>
      <c r="H24" s="72"/>
      <c r="I24" s="72" t="s">
        <v>68</v>
      </c>
      <c r="J24" s="94"/>
      <c r="K24" s="72" t="s">
        <v>299</v>
      </c>
      <c r="L24" s="55"/>
      <c r="M24" s="55"/>
      <c r="N24" s="55"/>
      <c r="O24" s="72"/>
      <c r="P24" s="72" t="s">
        <v>68</v>
      </c>
      <c r="Q24" s="94"/>
      <c r="R24" s="72" t="s">
        <v>299</v>
      </c>
      <c r="S24" s="72"/>
      <c r="T24" s="72"/>
      <c r="U24" s="55"/>
      <c r="V24" s="72"/>
      <c r="W24" s="72" t="s">
        <v>335</v>
      </c>
      <c r="X24" s="55"/>
      <c r="Y24" s="94">
        <v>8</v>
      </c>
      <c r="Z24" s="72" t="s">
        <v>97</v>
      </c>
      <c r="AA24" s="220"/>
      <c r="AB24" s="69"/>
      <c r="AC24" s="44" t="s">
        <v>266</v>
      </c>
      <c r="AD24" s="115" t="str">
        <f>_xlfn.IFS($F$61=4,$E$82,$F$62=4,$E$82,TRUE,"")</f>
        <v/>
      </c>
      <c r="AE24" s="39"/>
      <c r="AF24" s="39"/>
      <c r="AG24" s="39"/>
      <c r="AH24" s="39"/>
      <c r="AI24" s="41"/>
      <c r="AJ24" s="39"/>
      <c r="AK24" s="68"/>
    </row>
    <row r="25" spans="1:37" ht="18.75" customHeight="1">
      <c r="A25" s="55"/>
      <c r="B25" s="55"/>
      <c r="C25" s="72"/>
      <c r="D25" s="72" t="s">
        <v>162</v>
      </c>
      <c r="E25" s="93">
        <f>IF(シナリオ1!E25="","",シナリオ1!E25)</f>
        <v>50</v>
      </c>
      <c r="F25" s="72" t="s">
        <v>299</v>
      </c>
      <c r="G25" s="55"/>
      <c r="H25" s="72"/>
      <c r="I25" s="72" t="s">
        <v>69</v>
      </c>
      <c r="J25" s="94"/>
      <c r="K25" s="72" t="s">
        <v>299</v>
      </c>
      <c r="L25" s="55"/>
      <c r="M25" s="55"/>
      <c r="N25" s="55"/>
      <c r="O25" s="72"/>
      <c r="P25" s="72" t="s">
        <v>69</v>
      </c>
      <c r="Q25" s="94"/>
      <c r="R25" s="72" t="s">
        <v>299</v>
      </c>
      <c r="S25" s="72"/>
      <c r="T25" s="72"/>
      <c r="U25" s="55"/>
      <c r="V25" s="72"/>
      <c r="W25" s="72" t="s">
        <v>336</v>
      </c>
      <c r="X25" s="55"/>
      <c r="Y25" s="94">
        <v>1</v>
      </c>
      <c r="Z25" s="72" t="s">
        <v>97</v>
      </c>
      <c r="AA25" s="220"/>
      <c r="AB25" s="69"/>
      <c r="AC25" s="44" t="s">
        <v>633</v>
      </c>
      <c r="AD25" s="115" t="str">
        <f>_xlfn.IFS($F$61=2,$E$83,$F$61=4,$E$83,TRUE,"")</f>
        <v/>
      </c>
      <c r="AE25" s="39"/>
      <c r="AF25" s="39"/>
      <c r="AG25" s="39"/>
      <c r="AH25" s="39"/>
      <c r="AI25" s="41"/>
      <c r="AJ25" s="39"/>
      <c r="AK25" s="68"/>
    </row>
    <row r="26" spans="1:37" ht="18.75" customHeight="1">
      <c r="A26" s="55"/>
      <c r="B26" s="55"/>
      <c r="C26" s="72"/>
      <c r="D26" s="72" t="s">
        <v>163</v>
      </c>
      <c r="E26" s="93">
        <f>IF(シナリオ1!E26="","",シナリオ1!E26)</f>
        <v>100</v>
      </c>
      <c r="F26" s="72" t="s">
        <v>348</v>
      </c>
      <c r="G26" s="55"/>
      <c r="H26" s="72"/>
      <c r="I26" s="72" t="s">
        <v>70</v>
      </c>
      <c r="J26" s="94"/>
      <c r="K26" s="72" t="s">
        <v>348</v>
      </c>
      <c r="L26" s="55"/>
      <c r="M26" s="55"/>
      <c r="N26" s="55"/>
      <c r="O26" s="72"/>
      <c r="P26" s="72" t="s">
        <v>70</v>
      </c>
      <c r="Q26" s="94"/>
      <c r="R26" s="72" t="s">
        <v>348</v>
      </c>
      <c r="S26" s="72"/>
      <c r="T26" s="72"/>
      <c r="U26" s="55"/>
      <c r="V26" s="72"/>
      <c r="W26" s="72" t="s">
        <v>434</v>
      </c>
      <c r="X26" s="55"/>
      <c r="Y26" s="94">
        <v>3</v>
      </c>
      <c r="Z26" s="72" t="s">
        <v>433</v>
      </c>
      <c r="AA26" s="220"/>
      <c r="AB26" s="69"/>
      <c r="AC26" s="44" t="s">
        <v>586</v>
      </c>
      <c r="AD26" s="115" t="str">
        <f>IF($F$66=1,$E$84,"")</f>
        <v/>
      </c>
      <c r="AE26" s="39"/>
      <c r="AF26" s="39"/>
      <c r="AG26" s="39"/>
      <c r="AH26" s="39"/>
      <c r="AI26" s="41"/>
      <c r="AJ26" s="39"/>
      <c r="AK26" s="68"/>
    </row>
    <row r="27" spans="1:37" ht="18.75" customHeight="1">
      <c r="A27" s="55"/>
      <c r="B27" s="55"/>
      <c r="C27" s="72"/>
      <c r="D27" s="72" t="s">
        <v>164</v>
      </c>
      <c r="E27" s="177" t="str">
        <f>IF(シナリオ1!E27="","",シナリオ1!E27)</f>
        <v>水道利用組合等</v>
      </c>
      <c r="F27" s="55"/>
      <c r="G27" s="55"/>
      <c r="H27" s="72"/>
      <c r="I27" s="72" t="s">
        <v>71</v>
      </c>
      <c r="J27" s="95"/>
      <c r="K27" s="55"/>
      <c r="L27" s="55"/>
      <c r="M27" s="55"/>
      <c r="N27" s="55"/>
      <c r="O27" s="72"/>
      <c r="P27" s="72" t="s">
        <v>71</v>
      </c>
      <c r="Q27" s="95"/>
      <c r="R27" s="55"/>
      <c r="S27" s="55"/>
      <c r="T27" s="55"/>
      <c r="U27" s="55"/>
      <c r="V27" s="72"/>
      <c r="W27" s="72"/>
      <c r="X27" s="55"/>
      <c r="Y27" s="55"/>
      <c r="Z27" s="55"/>
      <c r="AA27" s="220"/>
      <c r="AB27" s="69"/>
      <c r="AC27" s="73" t="s">
        <v>377</v>
      </c>
      <c r="AD27" s="115" t="str">
        <f>IF(OR($F$60=2,$F$60=3),$E$85,"")</f>
        <v/>
      </c>
      <c r="AE27" s="39"/>
      <c r="AF27" s="39"/>
      <c r="AG27" s="39"/>
      <c r="AH27" s="39"/>
      <c r="AI27" s="41"/>
      <c r="AJ27" s="39"/>
      <c r="AK27" s="68"/>
    </row>
    <row r="28" spans="1:37" ht="18.75" customHeight="1">
      <c r="A28" s="55"/>
      <c r="B28" s="55"/>
      <c r="C28" s="55"/>
      <c r="D28" s="55"/>
      <c r="E28" s="55"/>
      <c r="F28" s="55"/>
      <c r="G28" s="55"/>
      <c r="H28" s="72"/>
      <c r="I28" s="72"/>
      <c r="J28" s="55"/>
      <c r="K28" s="55"/>
      <c r="L28" s="55"/>
      <c r="M28" s="55"/>
      <c r="N28" s="55"/>
      <c r="O28" s="55"/>
      <c r="P28" s="55"/>
      <c r="Q28" s="60"/>
      <c r="R28" s="55"/>
      <c r="S28" s="55"/>
      <c r="T28" s="55"/>
      <c r="U28" s="55"/>
      <c r="V28" s="58" t="s">
        <v>318</v>
      </c>
      <c r="W28" s="55"/>
      <c r="X28" s="55"/>
      <c r="Y28" s="55"/>
      <c r="Z28" s="55"/>
      <c r="AA28" s="220"/>
      <c r="AB28" s="69"/>
      <c r="AC28" s="44" t="s">
        <v>634</v>
      </c>
      <c r="AD28" s="115" t="str">
        <f>_xlfn.IFS(AND($F$60=2,$F$67=1),$E$86,$F$60=3,$E$86,TRUE,"")</f>
        <v/>
      </c>
      <c r="AE28" s="39"/>
      <c r="AF28" s="39"/>
      <c r="AG28" s="39"/>
      <c r="AH28" s="39"/>
      <c r="AI28" s="39"/>
      <c r="AJ28" s="39"/>
      <c r="AK28" s="68"/>
    </row>
    <row r="29" spans="1:37" ht="18.75" customHeight="1">
      <c r="A29" s="55"/>
      <c r="B29" s="55"/>
      <c r="C29" s="72" t="s">
        <v>159</v>
      </c>
      <c r="D29" s="72"/>
      <c r="E29" s="72"/>
      <c r="F29" s="55"/>
      <c r="G29" s="55"/>
      <c r="H29" s="72" t="s">
        <v>574</v>
      </c>
      <c r="I29" s="72"/>
      <c r="J29" s="55"/>
      <c r="K29" s="55"/>
      <c r="L29" s="55"/>
      <c r="M29" s="55"/>
      <c r="N29" s="55"/>
      <c r="O29" s="72" t="s">
        <v>576</v>
      </c>
      <c r="P29" s="72"/>
      <c r="Q29" s="84"/>
      <c r="R29" s="55"/>
      <c r="S29" s="55"/>
      <c r="T29" s="55"/>
      <c r="U29" s="55"/>
      <c r="V29" s="72" t="s">
        <v>315</v>
      </c>
      <c r="W29" s="72"/>
      <c r="X29" s="55"/>
      <c r="Y29" s="55"/>
      <c r="Z29" s="55"/>
      <c r="AA29" s="220"/>
      <c r="AB29" s="69"/>
      <c r="AC29" s="44" t="s">
        <v>635</v>
      </c>
      <c r="AD29" s="115" t="str">
        <f>IF($F$67=2,$E$87,"")</f>
        <v/>
      </c>
      <c r="AE29" s="39"/>
      <c r="AF29" s="39"/>
      <c r="AG29" s="39"/>
      <c r="AH29" s="39"/>
      <c r="AI29" s="41"/>
      <c r="AJ29" s="39"/>
      <c r="AK29" s="68"/>
    </row>
    <row r="30" spans="1:37" ht="18.75" customHeight="1">
      <c r="A30" s="55"/>
      <c r="B30" s="55"/>
      <c r="C30" s="72"/>
      <c r="D30" s="72" t="s">
        <v>165</v>
      </c>
      <c r="E30" s="93" t="str">
        <f>IF(シナリオ1!E30="","",シナリオ1!E30)</f>
        <v>湧水</v>
      </c>
      <c r="F30" s="55"/>
      <c r="G30" s="55"/>
      <c r="H30" s="72"/>
      <c r="I30" s="72" t="s">
        <v>165</v>
      </c>
      <c r="J30" s="94"/>
      <c r="K30" s="55"/>
      <c r="L30" s="55"/>
      <c r="M30" s="55"/>
      <c r="N30" s="55"/>
      <c r="O30" s="72"/>
      <c r="P30" s="72" t="s">
        <v>165</v>
      </c>
      <c r="Q30" s="94"/>
      <c r="R30" s="55"/>
      <c r="S30" s="55"/>
      <c r="T30" s="55"/>
      <c r="U30" s="55"/>
      <c r="V30" s="72"/>
      <c r="W30" s="72" t="s">
        <v>317</v>
      </c>
      <c r="X30" s="55"/>
      <c r="Y30" s="55"/>
      <c r="Z30" s="55"/>
      <c r="AA30" s="220"/>
      <c r="AB30" s="69"/>
      <c r="AC30" s="44" t="s">
        <v>269</v>
      </c>
      <c r="AD30" s="115" t="str">
        <f>IF($F$60=1,_xlfn.IFS($F68=1,$E$89,$F68=3,$E$90,$F68=6,$E$91,TRUE,""),"")</f>
        <v/>
      </c>
      <c r="AE30" s="39"/>
      <c r="AF30" s="39"/>
      <c r="AG30" s="39"/>
      <c r="AH30" s="39"/>
      <c r="AI30" s="41"/>
      <c r="AJ30" s="39"/>
      <c r="AK30" s="68"/>
    </row>
    <row r="31" spans="1:37" ht="18.75" customHeight="1">
      <c r="A31" s="55"/>
      <c r="B31" s="55"/>
      <c r="C31" s="72"/>
      <c r="D31" s="72" t="s">
        <v>349</v>
      </c>
      <c r="E31" s="93" t="str">
        <f>IF(シナリオ1!E31="","",シナリオ1!E31)</f>
        <v/>
      </c>
      <c r="F31" s="55"/>
      <c r="G31" s="55"/>
      <c r="H31" s="72"/>
      <c r="I31" s="72" t="s">
        <v>349</v>
      </c>
      <c r="J31" s="94"/>
      <c r="K31" s="55"/>
      <c r="L31" s="55"/>
      <c r="M31" s="55"/>
      <c r="N31" s="55"/>
      <c r="O31" s="72"/>
      <c r="P31" s="72" t="s">
        <v>349</v>
      </c>
      <c r="Q31" s="94"/>
      <c r="R31" s="55"/>
      <c r="S31" s="55"/>
      <c r="T31" s="55"/>
      <c r="U31" s="55"/>
      <c r="V31" s="72"/>
      <c r="W31" s="72" t="s">
        <v>334</v>
      </c>
      <c r="X31" s="55"/>
      <c r="Y31" s="94">
        <v>5</v>
      </c>
      <c r="Z31" s="72" t="s">
        <v>97</v>
      </c>
      <c r="AA31" s="220"/>
      <c r="AB31" s="69"/>
      <c r="AC31" s="44" t="s">
        <v>270</v>
      </c>
      <c r="AD31" s="115" t="str">
        <f>IF($F$60=1,_xlfn.IFS($F69=1,$E$89,$F69=3,$E$90,$F69=6,$E$91,TRUE,""),"")</f>
        <v/>
      </c>
      <c r="AE31" s="39"/>
      <c r="AF31" s="39"/>
      <c r="AG31" s="39"/>
      <c r="AH31" s="39"/>
      <c r="AI31" s="41"/>
      <c r="AJ31" s="39"/>
      <c r="AK31" s="39"/>
    </row>
    <row r="32" spans="1:37" ht="18.75" customHeight="1">
      <c r="A32" s="55"/>
      <c r="B32" s="55"/>
      <c r="C32" s="72"/>
      <c r="D32" s="72" t="s">
        <v>350</v>
      </c>
      <c r="E32" s="93" t="str">
        <f>IF(シナリオ1!E32="","",シナリオ1!E32)</f>
        <v/>
      </c>
      <c r="F32" s="55"/>
      <c r="G32" s="55"/>
      <c r="H32" s="72"/>
      <c r="I32" s="72" t="s">
        <v>350</v>
      </c>
      <c r="J32" s="94"/>
      <c r="K32" s="55"/>
      <c r="L32" s="55"/>
      <c r="M32" s="55"/>
      <c r="N32" s="55"/>
      <c r="O32" s="72"/>
      <c r="P32" s="72" t="s">
        <v>350</v>
      </c>
      <c r="Q32" s="94"/>
      <c r="R32" s="55"/>
      <c r="S32" s="55"/>
      <c r="T32" s="55"/>
      <c r="U32" s="55"/>
      <c r="V32" s="72"/>
      <c r="W32" s="72" t="s">
        <v>343</v>
      </c>
      <c r="X32" s="55"/>
      <c r="Y32" s="55"/>
      <c r="Z32" s="55"/>
      <c r="AA32" s="220"/>
      <c r="AB32" s="69"/>
      <c r="AC32" s="44" t="s">
        <v>271</v>
      </c>
      <c r="AD32" s="115" t="str">
        <f>IF($F$60=1,_xlfn.IFS($F70=1,$E$89,$F70=3,$E$90,$F70=6,$E$91,TRUE,""),"")</f>
        <v/>
      </c>
      <c r="AE32" s="39"/>
      <c r="AF32" s="39"/>
      <c r="AG32" s="39"/>
      <c r="AH32" s="39"/>
      <c r="AI32" s="39"/>
      <c r="AJ32" s="39"/>
      <c r="AK32" s="39"/>
    </row>
    <row r="33" spans="1:37" ht="18.75" customHeight="1">
      <c r="A33" s="55"/>
      <c r="B33" s="55"/>
      <c r="C33" s="72"/>
      <c r="D33" s="72" t="s">
        <v>351</v>
      </c>
      <c r="E33" s="93" t="str">
        <f>IF(シナリオ1!E33="","",シナリオ1!E33)</f>
        <v/>
      </c>
      <c r="F33" s="55"/>
      <c r="G33" s="55"/>
      <c r="H33" s="72"/>
      <c r="I33" s="72" t="s">
        <v>351</v>
      </c>
      <c r="J33" s="94"/>
      <c r="K33" s="55"/>
      <c r="L33" s="55"/>
      <c r="M33" s="55"/>
      <c r="N33" s="55"/>
      <c r="O33" s="72"/>
      <c r="P33" s="72" t="s">
        <v>351</v>
      </c>
      <c r="Q33" s="94"/>
      <c r="R33" s="55"/>
      <c r="S33" s="55"/>
      <c r="T33" s="55"/>
      <c r="U33" s="55"/>
      <c r="V33" s="72"/>
      <c r="W33" s="72" t="s">
        <v>333</v>
      </c>
      <c r="X33" s="55"/>
      <c r="Y33" s="94"/>
      <c r="Z33" s="72" t="s">
        <v>97</v>
      </c>
      <c r="AA33" s="220"/>
      <c r="AB33" s="69"/>
      <c r="AC33" s="44" t="s">
        <v>272</v>
      </c>
      <c r="AD33" s="115" t="str">
        <f>IF($F$60=1,_xlfn.IFS($F71=1,$E$89,$F71=3,$E$90,$F71=6,$E$91,TRUE,""),"")</f>
        <v/>
      </c>
      <c r="AE33" s="39"/>
      <c r="AF33" s="39"/>
      <c r="AG33" s="39"/>
      <c r="AH33" s="39"/>
      <c r="AI33" s="39"/>
      <c r="AJ33" s="39"/>
      <c r="AK33" s="39"/>
    </row>
    <row r="34" spans="1:37" ht="18.75" customHeight="1">
      <c r="A34" s="55"/>
      <c r="B34" s="55"/>
      <c r="C34" s="72"/>
      <c r="D34" s="72" t="s">
        <v>166</v>
      </c>
      <c r="E34" s="93" t="str">
        <f>IF(シナリオ1!E34="","",シナリオ1!E34)</f>
        <v>無処理</v>
      </c>
      <c r="F34" s="55"/>
      <c r="G34" s="55"/>
      <c r="H34" s="72"/>
      <c r="I34" s="72" t="s">
        <v>166</v>
      </c>
      <c r="J34" s="94"/>
      <c r="K34" s="55"/>
      <c r="L34" s="55"/>
      <c r="M34" s="55"/>
      <c r="N34" s="55"/>
      <c r="O34" s="72"/>
      <c r="P34" s="72" t="s">
        <v>166</v>
      </c>
      <c r="Q34" s="94"/>
      <c r="R34" s="55"/>
      <c r="S34" s="55"/>
      <c r="T34" s="55"/>
      <c r="U34" s="55"/>
      <c r="V34" s="72"/>
      <c r="W34" s="72" t="s">
        <v>342</v>
      </c>
      <c r="X34" s="55"/>
      <c r="Y34" s="55"/>
      <c r="Z34" s="55"/>
      <c r="AA34" s="220"/>
      <c r="AB34" s="69"/>
      <c r="AC34" s="44" t="s">
        <v>273</v>
      </c>
      <c r="AD34" s="115" t="str">
        <f>IF($F$60=1,_xlfn.IFS($F72=1,$E$94,$F72=2,$E$95,$F72=3,$E$96,$F72=5,$E$97,TRUE,""),"")</f>
        <v/>
      </c>
      <c r="AE34" s="39"/>
      <c r="AF34" s="39"/>
      <c r="AG34" s="39"/>
      <c r="AH34" s="39"/>
      <c r="AI34" s="39"/>
      <c r="AJ34" s="39"/>
      <c r="AK34" s="39"/>
    </row>
    <row r="35" spans="1:37" ht="18.75" customHeight="1">
      <c r="A35" s="55"/>
      <c r="B35" s="55"/>
      <c r="C35" s="72"/>
      <c r="D35" s="72" t="s">
        <v>352</v>
      </c>
      <c r="E35" s="93" t="str">
        <f>IF(シナリオ1!E35="","",シナリオ1!E35)</f>
        <v/>
      </c>
      <c r="F35" s="55"/>
      <c r="G35" s="55"/>
      <c r="H35" s="72"/>
      <c r="I35" s="72" t="s">
        <v>352</v>
      </c>
      <c r="J35" s="94"/>
      <c r="K35" s="55"/>
      <c r="L35" s="55"/>
      <c r="M35" s="55"/>
      <c r="N35" s="55"/>
      <c r="O35" s="72"/>
      <c r="P35" s="72" t="s">
        <v>352</v>
      </c>
      <c r="Q35" s="94"/>
      <c r="R35" s="55"/>
      <c r="S35" s="55"/>
      <c r="T35" s="55"/>
      <c r="U35" s="55"/>
      <c r="V35" s="72"/>
      <c r="W35" s="72" t="s">
        <v>316</v>
      </c>
      <c r="X35" s="55"/>
      <c r="Y35" s="55"/>
      <c r="Z35" s="55"/>
      <c r="AA35" s="220"/>
      <c r="AB35" s="69"/>
      <c r="AC35" s="44" t="s">
        <v>274</v>
      </c>
      <c r="AD35" s="115" t="str">
        <f>IF($F$60=1,_xlfn.IFS($F73=1,$E$94,$F73=2,$E$95,$F73=3,$E$96,$F73=5,$E$97,TRUE,""),"")</f>
        <v/>
      </c>
      <c r="AE35" s="39"/>
      <c r="AF35" s="39"/>
      <c r="AG35" s="39"/>
      <c r="AH35" s="39"/>
      <c r="AI35" s="41"/>
      <c r="AJ35" s="39"/>
      <c r="AK35" s="39"/>
    </row>
    <row r="36" spans="1:37" ht="18.75" customHeight="1">
      <c r="A36" s="55"/>
      <c r="B36" s="55"/>
      <c r="C36" s="72"/>
      <c r="D36" s="72" t="s">
        <v>353</v>
      </c>
      <c r="E36" s="93" t="str">
        <f>IF(シナリオ1!E36="","",シナリオ1!E36)</f>
        <v/>
      </c>
      <c r="F36" s="55"/>
      <c r="G36" s="55"/>
      <c r="H36" s="72"/>
      <c r="I36" s="72" t="s">
        <v>353</v>
      </c>
      <c r="J36" s="94"/>
      <c r="K36" s="55"/>
      <c r="L36" s="55"/>
      <c r="M36" s="55"/>
      <c r="N36" s="55"/>
      <c r="O36" s="72"/>
      <c r="P36" s="72" t="s">
        <v>353</v>
      </c>
      <c r="Q36" s="94"/>
      <c r="R36" s="55"/>
      <c r="S36" s="55"/>
      <c r="T36" s="55"/>
      <c r="U36" s="55"/>
      <c r="V36" s="72"/>
      <c r="W36" s="72" t="s">
        <v>331</v>
      </c>
      <c r="X36" s="55"/>
      <c r="Y36" s="94">
        <v>3</v>
      </c>
      <c r="Z36" s="72" t="s">
        <v>97</v>
      </c>
      <c r="AA36" s="220"/>
      <c r="AB36" s="69"/>
      <c r="AC36" s="44" t="s">
        <v>275</v>
      </c>
      <c r="AD36" s="115" t="str">
        <f>IF($F$60=1,_xlfn.IFS($F74=1,$E$94,$F74=2,$E$95,$F74=3,$E$96,$F74=5,$E$97,TRUE,""),"")</f>
        <v/>
      </c>
      <c r="AE36" s="39"/>
      <c r="AF36" s="39"/>
      <c r="AG36" s="39"/>
      <c r="AH36" s="39"/>
      <c r="AI36" s="41"/>
      <c r="AJ36" s="39"/>
      <c r="AK36" s="39"/>
    </row>
    <row r="37" spans="1:37" ht="18.75" customHeight="1">
      <c r="A37" s="55"/>
      <c r="B37" s="55"/>
      <c r="C37" s="72"/>
      <c r="D37" s="72" t="s">
        <v>354</v>
      </c>
      <c r="E37" s="93" t="str">
        <f>IF(シナリオ1!E37="","",シナリオ1!E37)</f>
        <v/>
      </c>
      <c r="F37" s="55"/>
      <c r="G37" s="55"/>
      <c r="H37" s="72"/>
      <c r="I37" s="72" t="s">
        <v>354</v>
      </c>
      <c r="J37" s="94"/>
      <c r="K37" s="55"/>
      <c r="L37" s="55"/>
      <c r="M37" s="55"/>
      <c r="N37" s="55"/>
      <c r="O37" s="72"/>
      <c r="P37" s="72" t="s">
        <v>354</v>
      </c>
      <c r="Q37" s="94"/>
      <c r="R37" s="55"/>
      <c r="S37" s="55"/>
      <c r="T37" s="55"/>
      <c r="U37" s="55"/>
      <c r="V37" s="72"/>
      <c r="W37" s="72" t="s">
        <v>641</v>
      </c>
      <c r="X37" s="55"/>
      <c r="Y37" s="55"/>
      <c r="Z37" s="55"/>
      <c r="AA37" s="220"/>
      <c r="AB37" s="69"/>
      <c r="AC37" s="44" t="s">
        <v>276</v>
      </c>
      <c r="AD37" s="115" t="str">
        <f>IF($F$60=1,_xlfn.IFS($F75=1,$E$94,$F75=2,$E$95,$F75=3,$E$96,$F75=5,$E$97,TRUE,""),"")</f>
        <v/>
      </c>
      <c r="AE37" s="39"/>
      <c r="AF37" s="39"/>
      <c r="AG37" s="39"/>
      <c r="AH37" s="39"/>
      <c r="AI37" s="41"/>
      <c r="AJ37" s="39"/>
      <c r="AK37" s="39"/>
    </row>
    <row r="38" spans="1:37" ht="18.75" customHeight="1">
      <c r="A38" s="55"/>
      <c r="B38" s="55"/>
      <c r="C38" s="72"/>
      <c r="D38" s="72" t="s">
        <v>167</v>
      </c>
      <c r="E38" s="93">
        <f>IF(シナリオ1!E38="","",シナリオ1!E38)</f>
        <v>1</v>
      </c>
      <c r="F38" s="55"/>
      <c r="G38" s="55"/>
      <c r="H38" s="72"/>
      <c r="I38" s="72" t="s">
        <v>167</v>
      </c>
      <c r="J38" s="94"/>
      <c r="K38" s="55"/>
      <c r="L38" s="55"/>
      <c r="M38" s="55"/>
      <c r="N38" s="55"/>
      <c r="O38" s="72"/>
      <c r="P38" s="72" t="s">
        <v>167</v>
      </c>
      <c r="Q38" s="94"/>
      <c r="R38" s="55"/>
      <c r="S38" s="55"/>
      <c r="T38" s="55"/>
      <c r="U38" s="55"/>
      <c r="V38" s="72"/>
      <c r="W38" s="72" t="s">
        <v>330</v>
      </c>
      <c r="X38" s="55"/>
      <c r="Y38" s="94">
        <v>1</v>
      </c>
      <c r="Z38" s="72" t="s">
        <v>97</v>
      </c>
      <c r="AA38" s="220"/>
      <c r="AB38" s="69"/>
      <c r="AC38" s="44" t="s">
        <v>339</v>
      </c>
      <c r="AD38" s="115" t="str">
        <f>IF($F$60=4,$E$100,"")</f>
        <v>・各家庭に設置する井戸は，原則として個人所有の飲用井戸として扱われます．飲用井戸の基準等については，自治体および近隣の保健所にお問い合わせください．</v>
      </c>
      <c r="AE38" s="39"/>
      <c r="AF38" s="39"/>
      <c r="AG38" s="39"/>
      <c r="AH38" s="39"/>
      <c r="AI38" s="41"/>
      <c r="AJ38" s="39"/>
      <c r="AK38" s="39"/>
    </row>
    <row r="39" spans="1:37" ht="18.75" customHeight="1">
      <c r="A39" s="55"/>
      <c r="B39" s="55"/>
      <c r="C39" s="55"/>
      <c r="D39" s="55"/>
      <c r="E39" s="55"/>
      <c r="F39" s="55"/>
      <c r="G39" s="55"/>
      <c r="H39" s="72"/>
      <c r="I39" s="75" t="s">
        <v>284</v>
      </c>
      <c r="J39" s="55"/>
      <c r="K39" s="55"/>
      <c r="L39" s="55"/>
      <c r="M39" s="55"/>
      <c r="N39" s="58"/>
      <c r="O39" s="55"/>
      <c r="P39" s="75" t="s">
        <v>284</v>
      </c>
      <c r="Q39" s="60"/>
      <c r="R39" s="55"/>
      <c r="S39" s="55"/>
      <c r="T39" s="55"/>
      <c r="U39" s="55"/>
      <c r="V39" s="72"/>
      <c r="W39" s="72" t="s">
        <v>332</v>
      </c>
      <c r="X39" s="55"/>
      <c r="Y39" s="55"/>
      <c r="Z39" s="55"/>
      <c r="AA39" s="220"/>
      <c r="AB39" s="66"/>
      <c r="AC39" s="44" t="s">
        <v>340</v>
      </c>
      <c r="AD39" s="115" t="str">
        <f>IF($F$60=4,$E$101,"")</f>
        <v>・初期コストは，当該地域全体における井戸設置費用の合計を算出しています．個別の井戸設置費用は掘削条件等により異なります．</v>
      </c>
      <c r="AE39" s="39"/>
      <c r="AF39" s="39"/>
      <c r="AG39" s="39"/>
      <c r="AH39" s="39"/>
      <c r="AI39" s="41"/>
      <c r="AJ39" s="39"/>
      <c r="AK39" s="39"/>
    </row>
    <row r="40" spans="1:37" ht="18.75" customHeight="1">
      <c r="A40" s="55"/>
      <c r="B40" s="55"/>
      <c r="C40" s="55"/>
      <c r="D40" s="55"/>
      <c r="E40" s="55"/>
      <c r="F40" s="55"/>
      <c r="G40" s="55"/>
      <c r="H40" s="72"/>
      <c r="I40" s="75"/>
      <c r="J40" s="55"/>
      <c r="K40" s="55"/>
      <c r="L40" s="55"/>
      <c r="M40" s="55"/>
      <c r="N40" s="58"/>
      <c r="O40" s="58" t="s">
        <v>584</v>
      </c>
      <c r="P40" s="55"/>
      <c r="Q40" s="60"/>
      <c r="R40" s="55"/>
      <c r="S40" s="55"/>
      <c r="T40" s="55"/>
      <c r="U40" s="55"/>
      <c r="V40" s="72"/>
      <c r="W40" s="75"/>
      <c r="X40" s="55"/>
      <c r="Y40" s="55"/>
      <c r="Z40" s="55"/>
      <c r="AA40" s="220"/>
      <c r="AB40" s="66"/>
      <c r="AC40" s="44" t="s">
        <v>341</v>
      </c>
      <c r="AD40" s="115" t="str">
        <f>IF($F$60=4,$E$102,"")</f>
        <v>・年間コストは，主に井戸ポンプの電気代と水質検査費用です．電気代は，標準的なポンプ仕様や水の使用量の場合を想定して算出し，当該地域分を合算して表示しています．</v>
      </c>
      <c r="AE40" s="39"/>
      <c r="AF40" s="39"/>
      <c r="AG40" s="39"/>
      <c r="AH40" s="39"/>
      <c r="AI40" s="41"/>
      <c r="AJ40" s="39"/>
      <c r="AK40" s="39"/>
    </row>
    <row r="41" spans="1:37" ht="18.75" customHeight="1">
      <c r="A41" s="55"/>
      <c r="B41" s="55"/>
      <c r="C41" s="55"/>
      <c r="D41" s="55"/>
      <c r="E41" s="55"/>
      <c r="F41" s="55"/>
      <c r="G41" s="55"/>
      <c r="H41" s="72" t="s">
        <v>168</v>
      </c>
      <c r="I41" s="72"/>
      <c r="J41" s="55"/>
      <c r="K41" s="55"/>
      <c r="L41" s="55"/>
      <c r="M41" s="55"/>
      <c r="N41" s="55"/>
      <c r="O41" s="72" t="s">
        <v>168</v>
      </c>
      <c r="P41" s="55"/>
      <c r="Q41" s="60"/>
      <c r="R41" s="55"/>
      <c r="S41" s="55"/>
      <c r="T41" s="55"/>
      <c r="U41" s="55"/>
      <c r="V41" s="72" t="s">
        <v>168</v>
      </c>
      <c r="W41" s="72"/>
      <c r="X41" s="55"/>
      <c r="Y41" s="55"/>
      <c r="Z41" s="55"/>
      <c r="AA41" s="220"/>
      <c r="AB41" s="66"/>
      <c r="AC41" s="39"/>
      <c r="AD41" s="39"/>
      <c r="AE41" s="39"/>
      <c r="AF41" s="39"/>
      <c r="AG41" s="39"/>
      <c r="AH41" s="39"/>
      <c r="AI41" s="41"/>
      <c r="AJ41" s="39"/>
      <c r="AK41" s="39"/>
    </row>
    <row r="42" spans="1:37" ht="18.75" customHeight="1">
      <c r="A42" s="55"/>
      <c r="B42" s="55"/>
      <c r="C42" s="55"/>
      <c r="D42" s="55"/>
      <c r="E42" s="55"/>
      <c r="F42" s="55"/>
      <c r="G42" s="55"/>
      <c r="H42" s="72"/>
      <c r="I42" s="72" t="s">
        <v>282</v>
      </c>
      <c r="J42" s="96"/>
      <c r="K42" s="96"/>
      <c r="L42" s="72" t="s">
        <v>86</v>
      </c>
      <c r="M42" s="55"/>
      <c r="N42" s="55"/>
      <c r="O42" s="55"/>
      <c r="P42" s="72"/>
      <c r="Q42" s="165"/>
      <c r="R42" s="166"/>
      <c r="S42" s="72"/>
      <c r="T42" s="72"/>
      <c r="U42" s="55"/>
      <c r="V42" s="72"/>
      <c r="W42" s="72" t="s">
        <v>319</v>
      </c>
      <c r="X42" s="55"/>
      <c r="Y42" s="55"/>
      <c r="Z42" s="72"/>
      <c r="AA42" s="220"/>
      <c r="AB42" s="66"/>
      <c r="AC42" s="39"/>
      <c r="AD42" s="39"/>
      <c r="AE42" s="39"/>
      <c r="AF42" s="39"/>
      <c r="AG42" s="39"/>
      <c r="AH42" s="39"/>
      <c r="AI42" s="41"/>
      <c r="AJ42" s="39"/>
      <c r="AK42" s="39"/>
    </row>
    <row r="43" spans="1:37" ht="18.75" customHeight="1">
      <c r="A43" s="55"/>
      <c r="B43" s="55"/>
      <c r="C43" s="55"/>
      <c r="D43" s="55"/>
      <c r="E43" s="55"/>
      <c r="F43" s="55"/>
      <c r="G43" s="55"/>
      <c r="H43" s="72"/>
      <c r="I43" s="72" t="s">
        <v>378</v>
      </c>
      <c r="J43" s="96"/>
      <c r="K43" s="96"/>
      <c r="L43" s="72" t="s">
        <v>86</v>
      </c>
      <c r="M43" s="55"/>
      <c r="N43" s="55"/>
      <c r="O43" s="55"/>
      <c r="P43" s="72" t="s">
        <v>378</v>
      </c>
      <c r="Q43" s="163"/>
      <c r="R43" s="164"/>
      <c r="S43" s="72" t="s">
        <v>86</v>
      </c>
      <c r="T43" s="72"/>
      <c r="U43" s="55"/>
      <c r="V43" s="72"/>
      <c r="W43" s="72" t="s">
        <v>323</v>
      </c>
      <c r="X43" s="85" t="s">
        <v>638</v>
      </c>
      <c r="Y43" s="85">
        <f>$Y$31</f>
        <v>5</v>
      </c>
      <c r="Z43" s="72" t="s">
        <v>106</v>
      </c>
      <c r="AA43" s="220"/>
      <c r="AB43" s="66"/>
      <c r="AC43" s="39"/>
      <c r="AD43" s="39"/>
      <c r="AE43" s="39"/>
      <c r="AF43" s="39"/>
      <c r="AG43" s="39"/>
      <c r="AH43" s="39"/>
      <c r="AI43" s="41"/>
      <c r="AJ43" s="39"/>
      <c r="AK43" s="39"/>
    </row>
    <row r="44" spans="1:37" ht="18.75" customHeight="1">
      <c r="A44" s="55"/>
      <c r="B44" s="55"/>
      <c r="C44" s="55"/>
      <c r="D44" s="55"/>
      <c r="E44" s="55"/>
      <c r="F44" s="55"/>
      <c r="G44" s="55"/>
      <c r="H44" s="72"/>
      <c r="I44" s="72" t="s">
        <v>379</v>
      </c>
      <c r="J44" s="96"/>
      <c r="K44" s="96"/>
      <c r="L44" s="72" t="s">
        <v>86</v>
      </c>
      <c r="M44" s="55"/>
      <c r="N44" s="55"/>
      <c r="O44" s="55"/>
      <c r="P44" s="72" t="s">
        <v>379</v>
      </c>
      <c r="Q44" s="98"/>
      <c r="R44" s="96"/>
      <c r="S44" s="72" t="s">
        <v>86</v>
      </c>
      <c r="T44" s="72"/>
      <c r="U44" s="55"/>
      <c r="V44" s="72"/>
      <c r="W44" s="72" t="s">
        <v>419</v>
      </c>
      <c r="X44" s="96"/>
      <c r="Y44" s="96"/>
      <c r="Z44" s="72" t="s">
        <v>86</v>
      </c>
      <c r="AA44" s="220"/>
      <c r="AB44" s="66"/>
      <c r="AC44" s="39"/>
      <c r="AD44" s="39"/>
      <c r="AE44" s="39"/>
      <c r="AF44" s="39"/>
      <c r="AG44" s="39"/>
      <c r="AH44" s="39"/>
      <c r="AI44" s="41"/>
      <c r="AJ44" s="39"/>
      <c r="AK44" s="39"/>
    </row>
    <row r="45" spans="1:37" ht="18.75" customHeight="1">
      <c r="A45" s="55"/>
      <c r="B45" s="55"/>
      <c r="C45" s="55"/>
      <c r="D45" s="55"/>
      <c r="E45" s="55"/>
      <c r="F45" s="55"/>
      <c r="G45" s="55"/>
      <c r="H45" s="72"/>
      <c r="I45" s="72" t="s">
        <v>380</v>
      </c>
      <c r="J45" s="96"/>
      <c r="K45" s="96"/>
      <c r="L45" s="72" t="s">
        <v>86</v>
      </c>
      <c r="M45" s="55"/>
      <c r="N45" s="55"/>
      <c r="O45" s="55"/>
      <c r="P45" s="72" t="s">
        <v>380</v>
      </c>
      <c r="Q45" s="98"/>
      <c r="R45" s="96"/>
      <c r="S45" s="72" t="s">
        <v>86</v>
      </c>
      <c r="T45" s="72"/>
      <c r="U45" s="55"/>
      <c r="V45" s="72"/>
      <c r="W45" s="72" t="s">
        <v>320</v>
      </c>
      <c r="X45" s="55"/>
      <c r="Y45" s="55"/>
      <c r="Z45" s="72"/>
      <c r="AA45" s="220"/>
      <c r="AB45" s="66"/>
      <c r="AC45" s="39"/>
      <c r="AD45" s="39"/>
      <c r="AE45" s="39"/>
      <c r="AF45" s="39"/>
      <c r="AG45" s="41"/>
      <c r="AH45" s="39"/>
      <c r="AI45" s="39"/>
      <c r="AJ45" s="39"/>
      <c r="AK45" s="39"/>
    </row>
    <row r="46" spans="1:37" ht="18.75" customHeight="1">
      <c r="A46" s="55"/>
      <c r="B46" s="55"/>
      <c r="C46" s="55"/>
      <c r="D46" s="55"/>
      <c r="E46" s="55"/>
      <c r="F46" s="55"/>
      <c r="G46" s="55"/>
      <c r="H46" s="72"/>
      <c r="I46" s="72" t="s">
        <v>302</v>
      </c>
      <c r="J46" s="96"/>
      <c r="K46" s="96"/>
      <c r="L46" s="72" t="s">
        <v>106</v>
      </c>
      <c r="M46" s="55"/>
      <c r="N46" s="55"/>
      <c r="O46" s="55"/>
      <c r="P46" s="72" t="s">
        <v>76</v>
      </c>
      <c r="Q46" s="98"/>
      <c r="R46" s="96"/>
      <c r="S46" s="72" t="s">
        <v>96</v>
      </c>
      <c r="T46" s="72"/>
      <c r="U46" s="55"/>
      <c r="V46" s="72"/>
      <c r="W46" s="72" t="s">
        <v>324</v>
      </c>
      <c r="X46" s="85" t="s">
        <v>638</v>
      </c>
      <c r="Y46" s="85">
        <f>$Y$33</f>
        <v>0</v>
      </c>
      <c r="Z46" s="72" t="s">
        <v>106</v>
      </c>
      <c r="AA46" s="220"/>
      <c r="AB46" s="66"/>
      <c r="AC46" s="39"/>
      <c r="AD46" s="39"/>
      <c r="AE46" s="39"/>
      <c r="AF46" s="39"/>
      <c r="AG46" s="41"/>
      <c r="AH46" s="39"/>
      <c r="AI46" s="39"/>
      <c r="AJ46" s="39"/>
      <c r="AK46" s="39"/>
    </row>
    <row r="47" spans="1:37" ht="18.75" customHeight="1">
      <c r="A47" s="55"/>
      <c r="B47" s="55"/>
      <c r="C47" s="55"/>
      <c r="D47" s="55"/>
      <c r="E47" s="55"/>
      <c r="F47" s="55"/>
      <c r="G47" s="55"/>
      <c r="H47" s="72"/>
      <c r="I47" s="72" t="s">
        <v>303</v>
      </c>
      <c r="J47" s="96"/>
      <c r="K47" s="96"/>
      <c r="L47" s="72" t="s">
        <v>106</v>
      </c>
      <c r="M47" s="55"/>
      <c r="N47" s="55"/>
      <c r="O47" s="55"/>
      <c r="P47" s="72" t="s">
        <v>283</v>
      </c>
      <c r="Q47" s="98"/>
      <c r="R47" s="96"/>
      <c r="S47" s="72" t="s">
        <v>97</v>
      </c>
      <c r="T47" s="72"/>
      <c r="U47" s="55"/>
      <c r="V47" s="72"/>
      <c r="W47" s="72" t="s">
        <v>325</v>
      </c>
      <c r="X47" s="85" t="s">
        <v>52</v>
      </c>
      <c r="Y47" s="85">
        <f>$Y$33</f>
        <v>0</v>
      </c>
      <c r="Z47" s="72" t="s">
        <v>106</v>
      </c>
      <c r="AA47" s="220"/>
      <c r="AB47" s="66"/>
      <c r="AC47" s="39"/>
      <c r="AD47" s="39"/>
      <c r="AE47" s="39"/>
      <c r="AF47" s="39"/>
      <c r="AG47" s="41"/>
      <c r="AH47" s="39"/>
      <c r="AI47" s="39"/>
      <c r="AJ47" s="39"/>
      <c r="AK47" s="39"/>
    </row>
    <row r="48" spans="1:37" ht="18.75" customHeight="1">
      <c r="A48" s="55"/>
      <c r="B48" s="55"/>
      <c r="C48" s="55"/>
      <c r="D48" s="55"/>
      <c r="E48" s="55"/>
      <c r="F48" s="55"/>
      <c r="G48" s="55"/>
      <c r="H48" s="72"/>
      <c r="I48" s="72" t="s">
        <v>304</v>
      </c>
      <c r="J48" s="96"/>
      <c r="K48" s="96"/>
      <c r="L48" s="72" t="s">
        <v>96</v>
      </c>
      <c r="M48" s="55"/>
      <c r="N48" s="55"/>
      <c r="O48" s="55"/>
      <c r="P48" s="55"/>
      <c r="Q48" s="162"/>
      <c r="R48" s="161"/>
      <c r="S48" s="72"/>
      <c r="T48" s="72"/>
      <c r="U48" s="55"/>
      <c r="V48" s="72"/>
      <c r="W48" s="72" t="s">
        <v>420</v>
      </c>
      <c r="X48" s="96"/>
      <c r="Y48" s="96"/>
      <c r="Z48" s="72" t="s">
        <v>86</v>
      </c>
      <c r="AA48" s="220"/>
      <c r="AB48" s="66"/>
      <c r="AC48" s="39"/>
      <c r="AD48" s="39"/>
      <c r="AE48" s="39"/>
      <c r="AF48" s="39"/>
      <c r="AG48" s="39"/>
      <c r="AH48" s="41"/>
      <c r="AI48" s="39"/>
      <c r="AJ48" s="39"/>
      <c r="AK48" s="39"/>
    </row>
    <row r="49" spans="1:37" ht="18.75" customHeight="1">
      <c r="A49" s="55"/>
      <c r="B49" s="55"/>
      <c r="C49" s="55"/>
      <c r="D49" s="55"/>
      <c r="E49" s="55"/>
      <c r="F49" s="55"/>
      <c r="G49" s="55"/>
      <c r="H49" s="72"/>
      <c r="I49" s="72" t="s">
        <v>306</v>
      </c>
      <c r="J49" s="96"/>
      <c r="K49" s="96"/>
      <c r="L49" s="72" t="s">
        <v>97</v>
      </c>
      <c r="M49" s="55"/>
      <c r="N49" s="55"/>
      <c r="O49" s="72" t="s">
        <v>188</v>
      </c>
      <c r="P49" s="72"/>
      <c r="Q49" s="55"/>
      <c r="R49" s="55"/>
      <c r="S49" s="72"/>
      <c r="T49" s="72"/>
      <c r="U49" s="55"/>
      <c r="V49" s="72"/>
      <c r="W49" s="72" t="s">
        <v>321</v>
      </c>
      <c r="X49" s="55"/>
      <c r="Y49" s="55"/>
      <c r="Z49" s="72"/>
      <c r="AA49" s="220"/>
      <c r="AB49" s="66"/>
      <c r="AC49" s="39"/>
      <c r="AD49" s="39"/>
      <c r="AE49" s="39"/>
      <c r="AF49" s="39"/>
      <c r="AG49" s="39"/>
      <c r="AH49" s="41"/>
      <c r="AI49" s="39"/>
      <c r="AJ49" s="39"/>
      <c r="AK49" s="39"/>
    </row>
    <row r="50" spans="1:37" ht="18.75" customHeight="1">
      <c r="A50" s="55"/>
      <c r="B50" s="55"/>
      <c r="C50" s="55"/>
      <c r="D50" s="55"/>
      <c r="E50" s="55"/>
      <c r="F50" s="55"/>
      <c r="G50" s="55"/>
      <c r="H50" s="55"/>
      <c r="I50" s="72" t="s">
        <v>402</v>
      </c>
      <c r="J50" s="96"/>
      <c r="K50" s="96"/>
      <c r="L50" s="72" t="s">
        <v>106</v>
      </c>
      <c r="M50" s="55"/>
      <c r="N50" s="55"/>
      <c r="O50" s="72"/>
      <c r="P50" s="72" t="s">
        <v>189</v>
      </c>
      <c r="Q50" s="97"/>
      <c r="R50" s="55"/>
      <c r="S50" s="55"/>
      <c r="T50" s="55"/>
      <c r="U50" s="55"/>
      <c r="V50" s="55"/>
      <c r="W50" s="72" t="s">
        <v>326</v>
      </c>
      <c r="X50" s="85" t="s">
        <v>640</v>
      </c>
      <c r="Y50" s="85">
        <f>$Y$36</f>
        <v>3</v>
      </c>
      <c r="Z50" s="72" t="s">
        <v>106</v>
      </c>
      <c r="AA50" s="220"/>
      <c r="AB50" s="66"/>
      <c r="AC50" s="39"/>
      <c r="AD50" s="39"/>
      <c r="AE50" s="39"/>
      <c r="AF50" s="39"/>
      <c r="AG50" s="39"/>
      <c r="AH50" s="41"/>
      <c r="AI50" s="39"/>
      <c r="AJ50" s="39"/>
      <c r="AK50" s="39"/>
    </row>
    <row r="51" spans="1:37" ht="19.5">
      <c r="A51" s="55"/>
      <c r="B51" s="55"/>
      <c r="C51" s="55"/>
      <c r="D51" s="55"/>
      <c r="E51" s="55"/>
      <c r="F51" s="55"/>
      <c r="G51" s="55"/>
      <c r="H51" s="55"/>
      <c r="I51" s="72" t="s">
        <v>403</v>
      </c>
      <c r="J51" s="96"/>
      <c r="K51" s="96"/>
      <c r="L51" s="72" t="s">
        <v>106</v>
      </c>
      <c r="M51" s="55"/>
      <c r="N51" s="55"/>
      <c r="O51" s="72"/>
      <c r="P51" s="72" t="s">
        <v>187</v>
      </c>
      <c r="Q51" s="97"/>
      <c r="R51" s="55"/>
      <c r="S51" s="55"/>
      <c r="T51" s="55"/>
      <c r="U51" s="55"/>
      <c r="V51" s="55"/>
      <c r="W51" s="72" t="s">
        <v>421</v>
      </c>
      <c r="X51" s="96"/>
      <c r="Y51" s="96"/>
      <c r="Z51" s="72" t="s">
        <v>86</v>
      </c>
      <c r="AA51" s="220"/>
      <c r="AB51" s="66"/>
      <c r="AC51" s="39"/>
      <c r="AD51" s="39"/>
      <c r="AE51" s="39"/>
      <c r="AF51" s="39"/>
      <c r="AG51" s="39"/>
      <c r="AH51" s="39"/>
      <c r="AI51" s="41"/>
      <c r="AJ51" s="39"/>
      <c r="AK51" s="39"/>
    </row>
    <row r="52" spans="1:37" ht="19.5">
      <c r="A52" s="55"/>
      <c r="B52" s="55"/>
      <c r="C52" s="55"/>
      <c r="D52" s="55"/>
      <c r="E52" s="55"/>
      <c r="F52" s="55"/>
      <c r="G52" s="55"/>
      <c r="H52" s="55"/>
      <c r="I52" s="72" t="s">
        <v>404</v>
      </c>
      <c r="J52" s="96"/>
      <c r="K52" s="96"/>
      <c r="L52" s="72" t="s">
        <v>96</v>
      </c>
      <c r="M52" s="55"/>
      <c r="N52" s="55"/>
      <c r="O52" s="55"/>
      <c r="P52" s="55"/>
      <c r="Q52" s="162"/>
      <c r="R52" s="161"/>
      <c r="S52" s="55"/>
      <c r="T52" s="55"/>
      <c r="U52" s="55"/>
      <c r="V52" s="55"/>
      <c r="W52" s="72" t="s">
        <v>322</v>
      </c>
      <c r="X52" s="55"/>
      <c r="Y52" s="55"/>
      <c r="Z52" s="72"/>
      <c r="AA52" s="220"/>
      <c r="AB52" s="66"/>
      <c r="AC52" s="39"/>
      <c r="AD52" s="39"/>
      <c r="AE52" s="39"/>
      <c r="AF52" s="39"/>
      <c r="AG52" s="39"/>
      <c r="AH52" s="39"/>
      <c r="AI52" s="41"/>
      <c r="AJ52" s="39"/>
      <c r="AK52" s="39"/>
    </row>
    <row r="53" spans="1:37" ht="19.5">
      <c r="A53" s="55"/>
      <c r="B53" s="55"/>
      <c r="C53" s="55"/>
      <c r="D53" s="55"/>
      <c r="E53" s="55"/>
      <c r="F53" s="55"/>
      <c r="G53" s="55"/>
      <c r="H53" s="55"/>
      <c r="I53" s="72" t="s">
        <v>405</v>
      </c>
      <c r="J53" s="96"/>
      <c r="K53" s="96"/>
      <c r="L53" s="72" t="s">
        <v>97</v>
      </c>
      <c r="M53" s="55"/>
      <c r="N53" s="55"/>
      <c r="O53" s="72" t="s">
        <v>578</v>
      </c>
      <c r="P53" s="55"/>
      <c r="Q53" s="55"/>
      <c r="R53" s="55"/>
      <c r="S53" s="55"/>
      <c r="T53" s="55"/>
      <c r="U53" s="55"/>
      <c r="V53" s="55"/>
      <c r="W53" s="72" t="s">
        <v>327</v>
      </c>
      <c r="X53" s="85" t="s">
        <v>639</v>
      </c>
      <c r="Y53" s="85">
        <f>$Y$38</f>
        <v>1</v>
      </c>
      <c r="Z53" s="72" t="s">
        <v>106</v>
      </c>
      <c r="AA53" s="220"/>
      <c r="AB53" s="66"/>
      <c r="AC53" s="39"/>
      <c r="AD53" s="39"/>
      <c r="AE53" s="39"/>
      <c r="AF53" s="39"/>
      <c r="AG53" s="39"/>
      <c r="AH53" s="39"/>
      <c r="AI53" s="41"/>
      <c r="AJ53" s="39"/>
      <c r="AK53" s="39"/>
    </row>
    <row r="54" spans="1:37" ht="19.5">
      <c r="A54" s="55"/>
      <c r="B54" s="55"/>
      <c r="C54" s="55"/>
      <c r="D54" s="55"/>
      <c r="E54" s="55"/>
      <c r="F54" s="55"/>
      <c r="G54" s="55"/>
      <c r="H54" s="55"/>
      <c r="I54" s="75" t="s">
        <v>603</v>
      </c>
      <c r="J54" s="55"/>
      <c r="K54" s="55"/>
      <c r="L54" s="55"/>
      <c r="M54" s="55"/>
      <c r="N54" s="55"/>
      <c r="O54" s="72"/>
      <c r="P54" s="72" t="s">
        <v>579</v>
      </c>
      <c r="Q54" s="161"/>
      <c r="R54" s="55"/>
      <c r="S54" s="55"/>
      <c r="T54" s="55"/>
      <c r="U54" s="55"/>
      <c r="V54" s="55"/>
      <c r="W54" s="72" t="s">
        <v>422</v>
      </c>
      <c r="X54" s="96" t="s">
        <v>560</v>
      </c>
      <c r="Y54" s="96">
        <v>500</v>
      </c>
      <c r="Z54" s="72" t="s">
        <v>86</v>
      </c>
      <c r="AA54" s="220"/>
      <c r="AB54" s="66"/>
      <c r="AC54" s="39"/>
      <c r="AD54" s="39"/>
      <c r="AE54" s="39"/>
      <c r="AF54" s="39"/>
      <c r="AG54" s="39"/>
      <c r="AH54" s="39"/>
      <c r="AI54" s="41"/>
      <c r="AJ54" s="39"/>
      <c r="AK54" s="39"/>
    </row>
    <row r="55" spans="1:37" ht="19.5">
      <c r="A55" s="55"/>
      <c r="B55" s="55"/>
      <c r="C55" s="55"/>
      <c r="D55" s="55"/>
      <c r="E55" s="55"/>
      <c r="F55" s="55"/>
      <c r="G55" s="55"/>
      <c r="H55" s="55"/>
      <c r="I55" s="55"/>
      <c r="J55" s="55"/>
      <c r="K55" s="55"/>
      <c r="L55" s="55"/>
      <c r="M55" s="55"/>
      <c r="N55" s="55"/>
      <c r="O55" s="55"/>
      <c r="P55" s="214"/>
      <c r="Q55" s="215"/>
      <c r="R55" s="55"/>
      <c r="S55" s="55"/>
      <c r="T55" s="55"/>
      <c r="U55" s="55"/>
      <c r="V55" s="55"/>
      <c r="W55" s="55"/>
      <c r="X55" s="55"/>
      <c r="Y55" s="55"/>
      <c r="Z55" s="55"/>
      <c r="AA55" s="220"/>
      <c r="AB55" s="66"/>
      <c r="AC55" s="39"/>
      <c r="AD55" s="39"/>
      <c r="AE55" s="39"/>
      <c r="AF55" s="39"/>
      <c r="AG55" s="39"/>
      <c r="AH55" s="39"/>
      <c r="AI55" s="41"/>
      <c r="AJ55" s="39"/>
      <c r="AK55" s="39"/>
    </row>
    <row r="56" spans="1:37" ht="19.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221"/>
      <c r="AB56" s="66"/>
      <c r="AC56" s="39"/>
      <c r="AD56" s="39"/>
      <c r="AE56" s="39"/>
      <c r="AF56" s="39"/>
      <c r="AG56" s="39"/>
      <c r="AH56" s="39"/>
      <c r="AI56" s="41"/>
      <c r="AJ56" s="39"/>
      <c r="AK56" s="39"/>
    </row>
    <row r="57" spans="1:37" ht="19.5" hidden="1">
      <c r="A57" s="39"/>
      <c r="B57" s="39" t="s">
        <v>357</v>
      </c>
      <c r="C57" s="39"/>
      <c r="D57" s="40"/>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41"/>
      <c r="AJ57" s="39"/>
      <c r="AK57" s="39"/>
    </row>
    <row r="58" spans="1:37" ht="19.5" hidden="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1"/>
      <c r="AJ58" s="39"/>
      <c r="AK58" s="39"/>
    </row>
    <row r="59" spans="1:37" ht="19.5" hidden="1">
      <c r="A59" s="39"/>
      <c r="B59" s="39"/>
      <c r="C59" s="39"/>
      <c r="D59" s="42" t="s">
        <v>355</v>
      </c>
      <c r="E59" s="39"/>
      <c r="F59" s="39"/>
      <c r="G59" s="39"/>
      <c r="H59" s="39"/>
      <c r="I59" s="42" t="s">
        <v>224</v>
      </c>
      <c r="J59" s="39"/>
      <c r="K59" s="39"/>
      <c r="L59" s="39"/>
      <c r="M59" s="39"/>
      <c r="N59" s="39"/>
      <c r="O59" s="39"/>
      <c r="P59" s="42" t="s">
        <v>225</v>
      </c>
      <c r="Q59" s="39"/>
      <c r="R59" s="39"/>
      <c r="S59" s="39"/>
      <c r="T59" s="39"/>
      <c r="U59" s="39"/>
      <c r="V59" s="39"/>
      <c r="W59" s="42" t="s">
        <v>337</v>
      </c>
      <c r="X59" s="39"/>
      <c r="Y59" s="39"/>
      <c r="Z59" s="39"/>
      <c r="AA59" s="39"/>
      <c r="AB59" s="42" t="s">
        <v>314</v>
      </c>
      <c r="AC59" s="39"/>
      <c r="AD59" s="39"/>
      <c r="AE59" s="39"/>
      <c r="AF59" s="39"/>
      <c r="AG59" s="39"/>
      <c r="AH59" s="52">
        <f>IF(AH62=1,AH70,IF(AH63=1,AH71,IF(AH64=1,AH72,IF(AH65=1,AH73,""))))</f>
        <v>2019.8859732041299</v>
      </c>
      <c r="AI59" s="41"/>
      <c r="AJ59" s="39"/>
      <c r="AK59" s="39"/>
    </row>
    <row r="60" spans="1:37" ht="19.5" hidden="1">
      <c r="A60" s="39"/>
      <c r="B60" s="39"/>
      <c r="C60" s="39"/>
      <c r="D60" s="39"/>
      <c r="E60" s="39" t="s">
        <v>74</v>
      </c>
      <c r="F60" s="39">
        <f>_xlfn.IFS($J$4=Choices!$B$26,1,$J$4=Choices!$B$27,2,$J$4=Choices!$B$28,3,$J$4=Choices!$B$29,4,TRUE,"")</f>
        <v>4</v>
      </c>
      <c r="G60" s="39"/>
      <c r="H60" s="39"/>
      <c r="I60" s="39" t="s">
        <v>119</v>
      </c>
      <c r="J60" s="43">
        <f>IF($J42="",0,VLOOKUP($J42,IC!$B$6:$E$14,4,FALSE)*$K42)</f>
        <v>0</v>
      </c>
      <c r="K60" s="39"/>
      <c r="L60" s="39"/>
      <c r="M60" s="39"/>
      <c r="N60" s="39"/>
      <c r="O60" s="39"/>
      <c r="P60" s="39"/>
      <c r="Q60" s="43"/>
      <c r="R60" s="39"/>
      <c r="S60" s="39"/>
      <c r="T60" s="39"/>
      <c r="U60" s="39"/>
      <c r="V60" s="39"/>
      <c r="W60" s="39" t="s">
        <v>323</v>
      </c>
      <c r="X60" s="43">
        <f>IF($X43="",0,VLOOKUP($X43,IC!$B$17:$E$23,4,FALSE))*$Y43</f>
        <v>12500000</v>
      </c>
      <c r="Y60" s="39"/>
      <c r="Z60" s="39"/>
      <c r="AA60" s="39"/>
      <c r="AB60" s="39"/>
      <c r="AC60" s="39" t="s">
        <v>254</v>
      </c>
      <c r="AD60" s="39"/>
      <c r="AE60" s="39"/>
      <c r="AF60" s="39"/>
      <c r="AG60" s="39"/>
      <c r="AH60" s="54" t="s">
        <v>251</v>
      </c>
      <c r="AI60" s="41"/>
      <c r="AJ60" s="39"/>
      <c r="AK60" s="39"/>
    </row>
    <row r="61" spans="1:37" ht="19.5" hidden="1">
      <c r="A61" s="39"/>
      <c r="B61" s="39"/>
      <c r="C61" s="39"/>
      <c r="D61" s="39"/>
      <c r="E61" s="39" t="s">
        <v>263</v>
      </c>
      <c r="F61" s="39" t="str">
        <f>IF($F$60=1,_xlfn.IFS(AND($E$27=Choices!$B$8,$J$27=Choices!$B$8),1,AND($E$27=Choices!$B$8,$J$27=Choices!$B$9),2,AND($E$27=Choices!$B$9,$J$27=Choices!$B$8),3,AND($E$27=Choices!$B$9,$J$27=Choices!$B$9),4,TRUE,""),"")</f>
        <v/>
      </c>
      <c r="G61" s="39"/>
      <c r="H61" s="39"/>
      <c r="I61" s="39" t="s">
        <v>120</v>
      </c>
      <c r="J61" s="43">
        <f>IF($J43="",0,VLOOKUP($J43,IC!$B$6:$E$14,4,FALSE)*$K43)</f>
        <v>0</v>
      </c>
      <c r="K61" s="39"/>
      <c r="L61" s="39"/>
      <c r="M61" s="39"/>
      <c r="N61" s="39"/>
      <c r="O61" s="39"/>
      <c r="P61" s="39" t="s">
        <v>120</v>
      </c>
      <c r="Q61" s="43">
        <f>IF($Q43="",0,VLOOKUP($Q43,IC!$B$6:$E$14,4,FALSE)*$R43)</f>
        <v>0</v>
      </c>
      <c r="R61" s="39"/>
      <c r="S61" s="39"/>
      <c r="T61" s="39"/>
      <c r="U61" s="39"/>
      <c r="V61" s="39"/>
      <c r="W61" s="39" t="s">
        <v>419</v>
      </c>
      <c r="X61" s="43">
        <f>IF($X44="",0,VLOOKUP($X44,IC!$B$7:$E$14,4,FALSE))*Y44</f>
        <v>0</v>
      </c>
      <c r="Y61" s="39"/>
      <c r="Z61" s="39"/>
      <c r="AA61" s="39"/>
      <c r="AB61" s="39"/>
      <c r="AC61" s="44"/>
      <c r="AD61" s="45" t="s">
        <v>171</v>
      </c>
      <c r="AE61" s="45" t="s">
        <v>599</v>
      </c>
      <c r="AF61" s="45" t="s">
        <v>600</v>
      </c>
      <c r="AG61" s="44" t="s">
        <v>339</v>
      </c>
      <c r="AH61" s="44" t="s">
        <v>222</v>
      </c>
      <c r="AI61" s="41"/>
      <c r="AJ61" s="39"/>
      <c r="AK61" s="39"/>
    </row>
    <row r="62" spans="1:37" ht="19.5" hidden="1">
      <c r="A62" s="39"/>
      <c r="B62" s="39"/>
      <c r="C62" s="39"/>
      <c r="D62" s="39"/>
      <c r="E62" s="39" t="s">
        <v>577</v>
      </c>
      <c r="F62" s="39" t="str">
        <f>IF(OR(AND($F$60=2,$F$67=1),$F$60=3),_xlfn.IFS(AND($E$27=Choices!$B$8,$Q$27=Choices!$B$8),1,AND($E$27=Choices!$B$8,$Q$27=Choices!$B$9),2,AND($E$27=Choices!$B$9,$Q$27=Choices!$B$8),3,AND($E$27=Choices!$B$9,$Q$27=Choices!$B$9),4,TRUE,""),"")</f>
        <v/>
      </c>
      <c r="G62" s="39"/>
      <c r="H62" s="39"/>
      <c r="I62" s="39" t="s">
        <v>121</v>
      </c>
      <c r="J62" s="43">
        <f>IF($J44="",0,VLOOKUP($J44,IC!$B$6:$E$14,4,FALSE)*$K44)</f>
        <v>0</v>
      </c>
      <c r="K62" s="39"/>
      <c r="L62" s="39"/>
      <c r="M62" s="39"/>
      <c r="N62" s="39"/>
      <c r="O62" s="39"/>
      <c r="P62" s="39" t="s">
        <v>121</v>
      </c>
      <c r="Q62" s="43">
        <f>IF($Q44="",0,VLOOKUP($Q44,IC!$B$6:$E$14,4,FALSE)*$R44)</f>
        <v>0</v>
      </c>
      <c r="R62" s="39"/>
      <c r="S62" s="39"/>
      <c r="T62" s="39"/>
      <c r="U62" s="39"/>
      <c r="V62" s="39"/>
      <c r="W62" s="39"/>
      <c r="X62" s="39"/>
      <c r="Y62" s="39"/>
      <c r="Z62" s="39"/>
      <c r="AA62" s="39"/>
      <c r="AB62" s="39"/>
      <c r="AC62" s="45" t="s">
        <v>172</v>
      </c>
      <c r="AD62" s="71" t="str">
        <f>IF(AND($J$4=Choices!$B$26,$J$23=Choices!$B$2,$J$24&gt;=20000),1,"")</f>
        <v/>
      </c>
      <c r="AE62" s="71" t="str">
        <f>IF(AND($J$4=Choices!$B$27,$Q$23=Choices!$B$2,$Q$24&gt;=20000),1,"")</f>
        <v/>
      </c>
      <c r="AF62" s="71" t="str">
        <f>IF(AND($J$4=Choices!$B$28,$Q$23=Choices!$B$2,$Q$24&gt;=20000),1,"")</f>
        <v/>
      </c>
      <c r="AG62" s="116"/>
      <c r="AH62" s="71" t="str">
        <f>IF(AND($E$23=Choices!$B$2,$E$24&gt;=20000),1,"")</f>
        <v/>
      </c>
      <c r="AI62" s="41"/>
      <c r="AJ62" s="39"/>
      <c r="AK62" s="39"/>
    </row>
    <row r="63" spans="1:37" ht="19.5" hidden="1">
      <c r="A63" s="39"/>
      <c r="B63" s="39"/>
      <c r="C63" s="39"/>
      <c r="D63" s="39"/>
      <c r="E63" s="39" t="s">
        <v>637</v>
      </c>
      <c r="F63" s="39" t="str">
        <f>IF(OR($Q$23=Choices!$B$2,$Q$23=Choices!$B$3),_xlfn.IFS($F$60=2,1,$F$60=3,2,TRUE,""),"")</f>
        <v/>
      </c>
      <c r="G63" s="39"/>
      <c r="H63" s="39"/>
      <c r="I63" s="39" t="s">
        <v>122</v>
      </c>
      <c r="J63" s="43">
        <f>IF($J45="",0,VLOOKUP($J45,IC!$B$6:$E$14,4,FALSE)*$K45)</f>
        <v>0</v>
      </c>
      <c r="K63" s="39"/>
      <c r="L63" s="39"/>
      <c r="M63" s="39"/>
      <c r="N63" s="39"/>
      <c r="O63" s="39"/>
      <c r="P63" s="39" t="s">
        <v>122</v>
      </c>
      <c r="Q63" s="43">
        <f>IF($Q45="",0,VLOOKUP($Q45,IC!$B$6:$E$14,4,FALSE)*$R45)</f>
        <v>0</v>
      </c>
      <c r="R63" s="39"/>
      <c r="S63" s="39"/>
      <c r="T63" s="39"/>
      <c r="U63" s="39"/>
      <c r="V63" s="39"/>
      <c r="W63" s="39" t="s">
        <v>324</v>
      </c>
      <c r="X63" s="43">
        <f>IF($X46="",0,VLOOKUP($X46,IC!$B$17:$E$23,4,FALSE))*$Y46</f>
        <v>0</v>
      </c>
      <c r="Y63" s="39"/>
      <c r="Z63" s="39"/>
      <c r="AA63" s="39"/>
      <c r="AB63" s="39"/>
      <c r="AC63" s="45" t="s">
        <v>173</v>
      </c>
      <c r="AD63" s="71" t="str">
        <f>IF(AND($J$4=Choices!$B$26,$J$23=Choices!$B$2,$J$24&lt;20000),1,"")</f>
        <v/>
      </c>
      <c r="AE63" s="71" t="str">
        <f>IF(AND($J$4=Choices!$B$27,$Q$23=Choices!$B$2,$Q$24&lt;20000),1,"")</f>
        <v/>
      </c>
      <c r="AF63" s="71" t="str">
        <f>IF(AND($J$4=Choices!$B$28,$Q$23=Choices!$B$2,$Q$24&lt;20000),1,"")</f>
        <v/>
      </c>
      <c r="AG63" s="116"/>
      <c r="AH63" s="71" t="str">
        <f>IF(AND($E$23=Choices!$B$2,$E$24&lt;20000),1,"")</f>
        <v/>
      </c>
      <c r="AI63" s="41"/>
      <c r="AJ63" s="39"/>
      <c r="AK63" s="39"/>
    </row>
    <row r="64" spans="1:37" ht="19.5" hidden="1">
      <c r="A64" s="39"/>
      <c r="B64" s="39"/>
      <c r="C64" s="39"/>
      <c r="D64" s="39"/>
      <c r="E64" s="39" t="s">
        <v>265</v>
      </c>
      <c r="F64" s="39" t="str">
        <f>_xlfn.IFS($Q$50=Choices!$B$36,1,$Q$51=Choices!$B$36,1,TRUE,"")</f>
        <v/>
      </c>
      <c r="G64" s="39"/>
      <c r="H64" s="39"/>
      <c r="I64" s="39" t="s">
        <v>302</v>
      </c>
      <c r="J64" s="43">
        <f>IF($J46="",0,VLOOKUP($J46,IC!$B$17:$E$23,4,FALSE))*$K46</f>
        <v>0</v>
      </c>
      <c r="K64" s="39"/>
      <c r="L64" s="39"/>
      <c r="M64" s="39"/>
      <c r="N64" s="39"/>
      <c r="O64" s="39"/>
      <c r="P64" s="39" t="s">
        <v>94</v>
      </c>
      <c r="Q64" s="43">
        <f>IF($Q46="",0,VLOOKUP($Q46,IC!$B$35:$E$37,4,FALSE))*$R46</f>
        <v>0</v>
      </c>
      <c r="R64" s="39"/>
      <c r="S64" s="39"/>
      <c r="T64" s="39"/>
      <c r="U64" s="39"/>
      <c r="V64" s="39"/>
      <c r="W64" s="39" t="s">
        <v>325</v>
      </c>
      <c r="X64" s="117">
        <f>IF($X47="",0,VLOOKUP($X47,IC!$B$26:$E$31,4,FALSE))*Y47</f>
        <v>0</v>
      </c>
      <c r="Y64" s="39"/>
      <c r="Z64" s="39"/>
      <c r="AA64" s="39"/>
      <c r="AB64" s="39"/>
      <c r="AC64" s="45" t="s">
        <v>174</v>
      </c>
      <c r="AD64" s="71" t="str">
        <f>IF(AND($J$4=Choices!$B$26,$J$23=Choices!$B$3),1,"")</f>
        <v/>
      </c>
      <c r="AE64" s="71" t="str">
        <f>IF(AND($J$4=Choices!$B$27,$Q$23=Choices!$B$3),1,"")</f>
        <v/>
      </c>
      <c r="AF64" s="71" t="str">
        <f>IF(AND($J$4=Choices!$B$28,$Q$23=Choices!$B$3),1,"")</f>
        <v/>
      </c>
      <c r="AG64" s="116"/>
      <c r="AH64" s="71" t="str">
        <f>IF($E$23=Choices!$B$3,1,"")</f>
        <v/>
      </c>
      <c r="AI64" s="41"/>
      <c r="AJ64" s="39"/>
      <c r="AK64" s="39"/>
    </row>
    <row r="65" spans="1:37" ht="19.5" hidden="1">
      <c r="A65" s="39"/>
      <c r="B65" s="39"/>
      <c r="C65" s="39"/>
      <c r="D65" s="39"/>
      <c r="E65" s="39" t="s">
        <v>264</v>
      </c>
      <c r="F65" s="39" t="str">
        <f>IF($J$4=Choices!$B$26,IF(OR($J$23=Choices!$B$4,$J$23=Choices!$B$6),1,IF(AND($J$23=Choices!$B$5,$J$27=Choices!$B$9),1,"")),"")</f>
        <v/>
      </c>
      <c r="G65" s="39"/>
      <c r="H65" s="39"/>
      <c r="I65" s="39" t="s">
        <v>303</v>
      </c>
      <c r="J65" s="43">
        <f>IF($J47="",0,VLOOKUP($J47,IC!$B$26:$E$31,4,FALSE))*$K47</f>
        <v>0</v>
      </c>
      <c r="K65" s="39"/>
      <c r="L65" s="39"/>
      <c r="M65" s="39"/>
      <c r="N65" s="39"/>
      <c r="O65" s="39"/>
      <c r="P65" s="39" t="s">
        <v>93</v>
      </c>
      <c r="Q65" s="43">
        <f>IF($Q47="",0,VLOOKUP($Q47,IC!$B$40:$E$42,4,FALSE))*$R47</f>
        <v>0</v>
      </c>
      <c r="R65" s="39"/>
      <c r="S65" s="39"/>
      <c r="T65" s="39"/>
      <c r="U65" s="39"/>
      <c r="V65" s="39"/>
      <c r="W65" s="39" t="s">
        <v>420</v>
      </c>
      <c r="X65" s="43">
        <f>IF($X48="",0,VLOOKUP($X48,IC!$B$7:$E$14,4,FALSE))*Y48</f>
        <v>0</v>
      </c>
      <c r="Y65" s="39"/>
      <c r="Z65" s="39"/>
      <c r="AA65" s="39"/>
      <c r="AB65" s="39"/>
      <c r="AC65" s="45" t="s">
        <v>390</v>
      </c>
      <c r="AD65" s="71" t="str">
        <f>IF($J$4=Choices!$B$26,IF(OR($J$23=Choices!$B$4,$J$23=Choices!$B$6),1,IF(AND($J$23=Choices!$B$5,$J$27=Choices!$B$9),1,"")),"")</f>
        <v/>
      </c>
      <c r="AE65" s="71" t="str">
        <f>IF($J$4=Choices!$B$27,IF(OR($Q$23=Choices!$B$4,$Q$23=Choices!$B$6),1,IF(AND($Q$23=Choices!$B$5,$Q$27=Choices!$B$9),1,"")),"")</f>
        <v/>
      </c>
      <c r="AF65" s="71" t="str">
        <f>IF($J$4=Choices!$B$28,IF(OR($Q$23=Choices!$B$4,$Q$23=Choices!$B$6),1,IF(AND($Q$23=Choices!$B$5,$Q$27=Choices!$B$9),1,"")),"")</f>
        <v/>
      </c>
      <c r="AG65" s="116"/>
      <c r="AH65" s="71">
        <f>IF(OR($E$23=Choices!$B$4,$E$23=Choices!$B$6),1,IF(AND($E$23=Choices!$B$5,$E$27=Choices!$B$9),1,""))</f>
        <v>1</v>
      </c>
      <c r="AI65" s="41"/>
      <c r="AJ65" s="39"/>
      <c r="AK65" s="39"/>
    </row>
    <row r="66" spans="1:37" hidden="1">
      <c r="A66" s="39"/>
      <c r="B66" s="39"/>
      <c r="C66" s="39"/>
      <c r="D66" s="39"/>
      <c r="E66" s="39" t="s">
        <v>588</v>
      </c>
      <c r="F66" s="39" t="str">
        <f>_xlfn.IFS($AD$66=1,1,$AE$66=1,1,$AF$66=1,1,TRUE,"")</f>
        <v/>
      </c>
      <c r="G66" s="39"/>
      <c r="H66" s="39"/>
      <c r="I66" s="39" t="s">
        <v>304</v>
      </c>
      <c r="J66" s="43">
        <f>IF($J48="",0,VLOOKUP($J48,IC!$B$35:$E$37,4,FALSE))*$K48</f>
        <v>0</v>
      </c>
      <c r="K66" s="39"/>
      <c r="L66" s="39"/>
      <c r="M66" s="39"/>
      <c r="N66" s="39"/>
      <c r="O66" s="39"/>
      <c r="P66" s="39"/>
      <c r="Q66" s="39"/>
      <c r="R66" s="39"/>
      <c r="S66" s="39"/>
      <c r="T66" s="39"/>
      <c r="U66" s="39"/>
      <c r="V66" s="39"/>
      <c r="W66" s="39"/>
      <c r="X66" s="39"/>
      <c r="Y66" s="39"/>
      <c r="Z66" s="39"/>
      <c r="AA66" s="39"/>
      <c r="AB66" s="39"/>
      <c r="AC66" s="45" t="s">
        <v>601</v>
      </c>
      <c r="AD66" s="71" t="str">
        <f>IF(AND($J$4=Choices!$B$26,$J$23=Choices!$B$5,$J$27=Choices!$B$8),1,"")</f>
        <v/>
      </c>
      <c r="AE66" s="71" t="str">
        <f>IF(AND($J$4=Choices!$B$27,$Q$23=Choices!$B$5,$Q$27=Choices!$B$8),1,"")</f>
        <v/>
      </c>
      <c r="AF66" s="71" t="str">
        <f>IF(AND($J$4=Choices!$B$28,$Q$23=Choices!$B$5,$Q$27=Choices!$B$8),1,"")</f>
        <v/>
      </c>
      <c r="AG66" s="116"/>
      <c r="AH66" s="71" t="str">
        <f>IF(AND($E$23=Choices!$B$5,$E$27=Choices!$B$8),1,"")</f>
        <v/>
      </c>
      <c r="AI66" s="39"/>
      <c r="AJ66" s="39"/>
      <c r="AK66" s="39"/>
    </row>
    <row r="67" spans="1:37" hidden="1">
      <c r="A67" s="39"/>
      <c r="B67" s="39"/>
      <c r="C67" s="39"/>
      <c r="D67" s="39"/>
      <c r="E67" s="39" t="s">
        <v>636</v>
      </c>
      <c r="F67" s="39" t="str">
        <f>IF($F$60=2,_xlfn.IFS($P$55=Choices!$B$42,2,$P$55=Choices!$B$41,1,TRUE,""),"")</f>
        <v/>
      </c>
      <c r="G67" s="39"/>
      <c r="H67" s="39"/>
      <c r="I67" s="39" t="s">
        <v>305</v>
      </c>
      <c r="J67" s="43">
        <f>IF($J49="",0,VLOOKUP($J49,IC!$B$40:$E$42,4,FALSE))*$K49</f>
        <v>0</v>
      </c>
      <c r="K67" s="39"/>
      <c r="L67" s="39"/>
      <c r="M67" s="39"/>
      <c r="N67" s="39"/>
      <c r="O67" s="39"/>
      <c r="P67" s="39"/>
      <c r="Q67" s="39"/>
      <c r="R67" s="39"/>
      <c r="S67" s="39"/>
      <c r="T67" s="39"/>
      <c r="U67" s="39"/>
      <c r="V67" s="39"/>
      <c r="W67" s="39" t="s">
        <v>326</v>
      </c>
      <c r="X67" s="43">
        <f>IF($X50="",0,VLOOKUP($X50,IC!$B$17:$E$23,4,FALSE))*$Y50</f>
        <v>18750000</v>
      </c>
      <c r="Y67" s="39"/>
      <c r="Z67" s="39"/>
      <c r="AA67" s="39"/>
      <c r="AB67" s="39"/>
      <c r="AC67" s="44" t="s">
        <v>338</v>
      </c>
      <c r="AD67" s="116"/>
      <c r="AE67" s="116"/>
      <c r="AF67" s="116"/>
      <c r="AG67" s="71">
        <f>IF($J$4=Choices!$B$29,1,"")</f>
        <v>1</v>
      </c>
      <c r="AH67" s="116"/>
      <c r="AI67" s="39"/>
      <c r="AJ67" s="39"/>
      <c r="AK67" s="39"/>
    </row>
    <row r="68" spans="1:37" ht="19.5" hidden="1">
      <c r="A68" s="39"/>
      <c r="B68" s="39"/>
      <c r="C68" s="39"/>
      <c r="D68" s="39"/>
      <c r="E68" s="39" t="s">
        <v>255</v>
      </c>
      <c r="F68" s="39" t="str">
        <f>_xlfn.IFS($J30=Choices!$B$11,1,$J30=Choices!$B$12,2,$J30=Choices!$B$13,3,$J30=Choices!$B$14,4,$J30=Choices!$B$15,5,$J30=Choices!$B$16,6,$J30=Choices!$B$17,7,TRUE,"")</f>
        <v/>
      </c>
      <c r="G68" s="39"/>
      <c r="H68" s="39"/>
      <c r="I68" s="39" t="s">
        <v>307</v>
      </c>
      <c r="J68" s="43">
        <f>IF($J50="",0,VLOOKUP($J50,IC!$B$17:$E$23,4,FALSE))*$K50</f>
        <v>0</v>
      </c>
      <c r="K68" s="39"/>
      <c r="L68" s="39"/>
      <c r="M68" s="39"/>
      <c r="N68" s="39"/>
      <c r="O68" s="39"/>
      <c r="P68" s="39"/>
      <c r="Q68" s="39"/>
      <c r="R68" s="39"/>
      <c r="S68" s="39"/>
      <c r="T68" s="39"/>
      <c r="U68" s="39"/>
      <c r="V68" s="39"/>
      <c r="W68" s="39" t="s">
        <v>421</v>
      </c>
      <c r="X68" s="43">
        <f>IF($X51="",0,VLOOKUP($X51,IC!$B$7:$E$14,4,FALSE))*Y51</f>
        <v>0</v>
      </c>
      <c r="Y68" s="39"/>
      <c r="Z68" s="39"/>
      <c r="AA68" s="39"/>
      <c r="AB68" s="42" t="s">
        <v>359</v>
      </c>
      <c r="AC68" s="39"/>
      <c r="AD68" s="39"/>
      <c r="AE68" s="39"/>
      <c r="AF68" s="39"/>
      <c r="AG68" s="41"/>
      <c r="AH68" s="39"/>
      <c r="AI68" s="39"/>
      <c r="AJ68" s="39"/>
      <c r="AK68" s="39"/>
    </row>
    <row r="69" spans="1:37" hidden="1">
      <c r="A69" s="39"/>
      <c r="B69" s="39"/>
      <c r="C69" s="39"/>
      <c r="D69" s="39"/>
      <c r="E69" s="39" t="s">
        <v>256</v>
      </c>
      <c r="F69" s="39" t="str">
        <f>_xlfn.IFS($J31=Choices!$B$11,1,$J31=Choices!$B$12,2,$J31=Choices!$B$13,3,$J31=Choices!$B$14,4,$J31=Choices!$B$15,5,$J31=Choices!$B$16,6,$J31=Choices!$B$17,7,TRUE,"")</f>
        <v/>
      </c>
      <c r="G69" s="39"/>
      <c r="H69" s="39"/>
      <c r="I69" s="39" t="s">
        <v>308</v>
      </c>
      <c r="J69" s="43">
        <f>IF($J51="",0,VLOOKUP($J51,IC!$B$26:$E$31,4,FALSE))*$K51</f>
        <v>0</v>
      </c>
      <c r="K69" s="39"/>
      <c r="L69" s="39"/>
      <c r="M69" s="39"/>
      <c r="N69" s="39"/>
      <c r="O69" s="39"/>
      <c r="P69" s="39"/>
      <c r="Q69" s="46"/>
      <c r="R69" s="39"/>
      <c r="S69" s="39"/>
      <c r="T69" s="39"/>
      <c r="U69" s="39"/>
      <c r="V69" s="39"/>
      <c r="W69" s="39"/>
      <c r="X69" s="39"/>
      <c r="Y69" s="39"/>
      <c r="Z69" s="39"/>
      <c r="AA69" s="39"/>
      <c r="AB69" s="39"/>
      <c r="AC69" s="45"/>
      <c r="AD69" s="45" t="s">
        <v>171</v>
      </c>
      <c r="AE69" s="45" t="s">
        <v>599</v>
      </c>
      <c r="AF69" s="45" t="s">
        <v>600</v>
      </c>
      <c r="AG69" s="44" t="s">
        <v>339</v>
      </c>
      <c r="AH69" s="44" t="s">
        <v>222</v>
      </c>
      <c r="AI69" s="39"/>
      <c r="AJ69" s="39"/>
      <c r="AK69" s="39"/>
    </row>
    <row r="70" spans="1:37" hidden="1">
      <c r="A70" s="39"/>
      <c r="B70" s="39"/>
      <c r="C70" s="39"/>
      <c r="D70" s="39"/>
      <c r="E70" s="39" t="s">
        <v>257</v>
      </c>
      <c r="F70" s="39" t="str">
        <f>_xlfn.IFS($J32=Choices!$B$11,1,$J32=Choices!$B$12,2,$J32=Choices!$B$13,3,$J32=Choices!$B$14,4,$J32=Choices!$B$15,5,$J32=Choices!$B$16,6,$J32=Choices!$B$17,7,TRUE,"")</f>
        <v/>
      </c>
      <c r="G70" s="39"/>
      <c r="H70" s="39"/>
      <c r="I70" s="39" t="s">
        <v>309</v>
      </c>
      <c r="J70" s="43">
        <f>IF($J52="",0,VLOOKUP($J52,IC!$B$35:$E$37,4,FALSE))*$K52</f>
        <v>0</v>
      </c>
      <c r="K70" s="39"/>
      <c r="L70" s="39"/>
      <c r="M70" s="39"/>
      <c r="N70" s="39"/>
      <c r="O70" s="39"/>
      <c r="P70" s="39"/>
      <c r="Q70" s="39"/>
      <c r="R70" s="39"/>
      <c r="S70" s="39"/>
      <c r="T70" s="39"/>
      <c r="U70" s="39"/>
      <c r="V70" s="39"/>
      <c r="W70" s="39" t="s">
        <v>327</v>
      </c>
      <c r="X70" s="43">
        <f>IF($X53="",0,VLOOKUP($X53,IC!$B$17:$E$23,4,FALSE))*$Y53</f>
        <v>14600000</v>
      </c>
      <c r="Y70" s="39"/>
      <c r="Z70" s="39"/>
      <c r="AA70" s="39"/>
      <c r="AB70" s="39"/>
      <c r="AC70" s="45" t="s">
        <v>172</v>
      </c>
      <c r="AD70" s="47">
        <f>AD$84</f>
        <v>183431.33767826483</v>
      </c>
      <c r="AE70" s="47">
        <f>AE$84</f>
        <v>183852.90745855751</v>
      </c>
      <c r="AF70" s="47">
        <f>AF$84</f>
        <v>183852.90745855751</v>
      </c>
      <c r="AG70" s="116"/>
      <c r="AH70" s="47">
        <f t="shared" ref="AH70" si="0">AH$84</f>
        <v>183852.90745855751</v>
      </c>
      <c r="AI70" s="39"/>
      <c r="AJ70" s="39"/>
      <c r="AK70" s="39"/>
    </row>
    <row r="71" spans="1:37" ht="19.5" hidden="1" thickBot="1">
      <c r="A71" s="39"/>
      <c r="B71" s="39"/>
      <c r="C71" s="39"/>
      <c r="D71" s="39"/>
      <c r="E71" s="39" t="s">
        <v>258</v>
      </c>
      <c r="F71" s="39" t="str">
        <f>_xlfn.IFS($J33=Choices!$B$11,1,$J33=Choices!$B$12,2,$J33=Choices!$B$13,3,$J33=Choices!$B$14,4,$J33=Choices!$B$15,5,$J33=Choices!$B$16,6,$J33=Choices!$B$17,7,TRUE,"")</f>
        <v/>
      </c>
      <c r="G71" s="39"/>
      <c r="H71" s="39"/>
      <c r="I71" s="39" t="s">
        <v>310</v>
      </c>
      <c r="J71" s="43">
        <f>IF($J53="",0,VLOOKUP($J53,IC!$B$40:$E$42,4,FALSE))*$K53</f>
        <v>0</v>
      </c>
      <c r="K71" s="39"/>
      <c r="L71" s="39"/>
      <c r="M71" s="39"/>
      <c r="N71" s="39"/>
      <c r="O71" s="39"/>
      <c r="P71" s="39"/>
      <c r="Q71" s="39"/>
      <c r="R71" s="39"/>
      <c r="S71" s="39"/>
      <c r="T71" s="39"/>
      <c r="U71" s="39"/>
      <c r="V71" s="39"/>
      <c r="W71" s="39" t="s">
        <v>422</v>
      </c>
      <c r="X71" s="43">
        <f>IF($X54="",0,VLOOKUP($X54,IC!$B$7:$E$14,4,FALSE))*Y54</f>
        <v>5000000</v>
      </c>
      <c r="Y71" s="39"/>
      <c r="Z71" s="39"/>
      <c r="AA71" s="39"/>
      <c r="AB71" s="39"/>
      <c r="AC71" s="45" t="s">
        <v>173</v>
      </c>
      <c r="AD71" s="47">
        <f>AD$92</f>
        <v>20246.178535711457</v>
      </c>
      <c r="AE71" s="47">
        <f>AE$92</f>
        <v>20884.388054453899</v>
      </c>
      <c r="AF71" s="47">
        <f>AF$92</f>
        <v>20884.388054453899</v>
      </c>
      <c r="AG71" s="116"/>
      <c r="AH71" s="47">
        <f>AH$92</f>
        <v>20884.388054453899</v>
      </c>
      <c r="AI71" s="39"/>
      <c r="AJ71" s="39"/>
      <c r="AK71" s="39"/>
    </row>
    <row r="72" spans="1:37" ht="19.5" hidden="1" thickBot="1">
      <c r="A72" s="39"/>
      <c r="B72" s="39"/>
      <c r="C72" s="39"/>
      <c r="D72" s="39"/>
      <c r="E72" s="39" t="s">
        <v>259</v>
      </c>
      <c r="F72" s="39" t="str">
        <f>_xlfn.IFS($J34=Choices!$B$19,1,$J34=Choices!$B$20,2,$J34=Choices!$B$21,3,$J34=Choices!$B$22,4,$J34=Choices!$B$23,5,TRUE,"")</f>
        <v/>
      </c>
      <c r="G72" s="39"/>
      <c r="H72" s="39"/>
      <c r="I72" s="39" t="s">
        <v>176</v>
      </c>
      <c r="J72" s="48">
        <f>SUM(J60:J71)</f>
        <v>0</v>
      </c>
      <c r="K72" s="39" t="s">
        <v>87</v>
      </c>
      <c r="L72" s="39"/>
      <c r="M72" s="39"/>
      <c r="N72" s="39"/>
      <c r="O72" s="39"/>
      <c r="P72" s="39" t="s">
        <v>176</v>
      </c>
      <c r="Q72" s="48">
        <f>SUM(Q60:Q69)</f>
        <v>0</v>
      </c>
      <c r="R72" s="39" t="s">
        <v>87</v>
      </c>
      <c r="S72" s="39"/>
      <c r="T72" s="39"/>
      <c r="U72" s="39"/>
      <c r="V72" s="39"/>
      <c r="W72" s="39" t="s">
        <v>176</v>
      </c>
      <c r="X72" s="48">
        <f>SUM(X60:X71)</f>
        <v>50850000</v>
      </c>
      <c r="Y72" s="39" t="s">
        <v>87</v>
      </c>
      <c r="Z72" s="39"/>
      <c r="AA72" s="39"/>
      <c r="AB72" s="39"/>
      <c r="AC72" s="45" t="s">
        <v>174</v>
      </c>
      <c r="AD72" s="47">
        <f>AD$87</f>
        <v>17199.792755110502</v>
      </c>
      <c r="AE72" s="47">
        <f>AE$87</f>
        <v>15257.915210428771</v>
      </c>
      <c r="AF72" s="47">
        <f>AF$87</f>
        <v>17835.040608240197</v>
      </c>
      <c r="AG72" s="116"/>
      <c r="AH72" s="47">
        <f>AH$87</f>
        <v>17835.040608240197</v>
      </c>
      <c r="AI72" s="39"/>
      <c r="AJ72" s="39"/>
      <c r="AK72" s="39"/>
    </row>
    <row r="73" spans="1:37" ht="19.5" hidden="1" thickBot="1">
      <c r="A73" s="39"/>
      <c r="B73" s="39"/>
      <c r="C73" s="39"/>
      <c r="D73" s="39"/>
      <c r="E73" s="39" t="s">
        <v>260</v>
      </c>
      <c r="F73" s="39" t="str">
        <f>_xlfn.IFS($J35=Choices!$B$19,1,$J35=Choices!$B$20,2,$J35=Choices!$B$21,3,$J35=Choices!$B$22,4,$J35=Choices!$B$23,5,TRUE,"")</f>
        <v/>
      </c>
      <c r="G73" s="39"/>
      <c r="H73" s="39"/>
      <c r="I73" s="39" t="s">
        <v>176</v>
      </c>
      <c r="J73" s="48">
        <f>J$72/1000</f>
        <v>0</v>
      </c>
      <c r="K73" s="39" t="s">
        <v>181</v>
      </c>
      <c r="L73" s="39"/>
      <c r="M73" s="39"/>
      <c r="N73" s="39"/>
      <c r="O73" s="39"/>
      <c r="P73" s="39" t="s">
        <v>176</v>
      </c>
      <c r="Q73" s="48">
        <f>Q$72/1000</f>
        <v>0</v>
      </c>
      <c r="R73" s="39" t="s">
        <v>181</v>
      </c>
      <c r="S73" s="39"/>
      <c r="T73" s="39"/>
      <c r="U73" s="39"/>
      <c r="V73" s="39"/>
      <c r="W73" s="39" t="s">
        <v>176</v>
      </c>
      <c r="X73" s="48">
        <f>X$72/1000</f>
        <v>50850</v>
      </c>
      <c r="Y73" s="39" t="s">
        <v>181</v>
      </c>
      <c r="Z73" s="39"/>
      <c r="AA73" s="39"/>
      <c r="AB73" s="39"/>
      <c r="AC73" s="45" t="s">
        <v>390</v>
      </c>
      <c r="AD73" s="47">
        <f>AD$104</f>
        <v>-430.65865846435747</v>
      </c>
      <c r="AE73" s="47">
        <f>AE$104</f>
        <v>614.19704716856779</v>
      </c>
      <c r="AF73" s="47">
        <f t="shared" ref="AF73" si="1">AF$104</f>
        <v>614.19704716856779</v>
      </c>
      <c r="AG73" s="116"/>
      <c r="AH73" s="47">
        <f>AH$104</f>
        <v>2019.8859732041299</v>
      </c>
      <c r="AI73" s="39"/>
      <c r="AJ73" s="39"/>
      <c r="AK73" s="39"/>
    </row>
    <row r="74" spans="1:37" hidden="1">
      <c r="A74" s="39"/>
      <c r="B74" s="39"/>
      <c r="C74" s="39"/>
      <c r="D74" s="39"/>
      <c r="E74" s="39" t="s">
        <v>261</v>
      </c>
      <c r="F74" s="39" t="str">
        <f>_xlfn.IFS($J36=Choices!$B$19,1,$J36=Choices!$B$20,2,$J36=Choices!$B$21,3,$J36=Choices!$B$22,4,$J36=Choices!$B$23,5,TRUE,"")</f>
        <v/>
      </c>
      <c r="G74" s="39"/>
      <c r="H74" s="39"/>
      <c r="I74" s="39"/>
      <c r="J74" s="46"/>
      <c r="K74" s="39"/>
      <c r="L74" s="39"/>
      <c r="M74" s="39"/>
      <c r="N74" s="39"/>
      <c r="O74" s="39"/>
      <c r="P74" s="39"/>
      <c r="Q74" s="46"/>
      <c r="R74" s="39"/>
      <c r="S74" s="39"/>
      <c r="T74" s="39"/>
      <c r="U74" s="39"/>
      <c r="V74" s="39"/>
      <c r="W74" s="39"/>
      <c r="X74" s="46"/>
      <c r="Y74" s="39"/>
      <c r="Z74" s="39"/>
      <c r="AA74" s="39"/>
      <c r="AB74" s="39"/>
      <c r="AC74" s="44" t="s">
        <v>338</v>
      </c>
      <c r="AD74" s="116"/>
      <c r="AE74" s="116"/>
      <c r="AF74" s="116"/>
      <c r="AG74" s="47">
        <f>$AG$109</f>
        <v>139.6</v>
      </c>
      <c r="AH74" s="116"/>
      <c r="AI74" s="39"/>
      <c r="AJ74" s="39"/>
      <c r="AK74" s="39"/>
    </row>
    <row r="75" spans="1:37" hidden="1">
      <c r="A75" s="39"/>
      <c r="B75" s="39"/>
      <c r="C75" s="39"/>
      <c r="D75" s="39"/>
      <c r="E75" s="39" t="s">
        <v>262</v>
      </c>
      <c r="F75" s="39" t="str">
        <f>_xlfn.IFS($J37=Choices!$B$19,1,$J37=Choices!$B$20,2,$J37=Choices!$B$21,3,$J37=Choices!$B$22,4,$J37=Choices!$B$23,5,TRUE,"")</f>
        <v/>
      </c>
      <c r="G75" s="39"/>
      <c r="H75" s="39"/>
      <c r="I75" s="39"/>
      <c r="J75" s="46"/>
      <c r="K75" s="39"/>
      <c r="L75" s="39"/>
      <c r="M75" s="39"/>
      <c r="N75" s="39"/>
      <c r="O75" s="39"/>
      <c r="P75" s="39"/>
      <c r="Q75" s="46"/>
      <c r="R75" s="39"/>
      <c r="S75" s="39"/>
      <c r="T75" s="39"/>
      <c r="U75" s="39"/>
      <c r="V75" s="39"/>
      <c r="W75" s="39"/>
      <c r="X75" s="46"/>
      <c r="Y75" s="39"/>
      <c r="Z75" s="39"/>
      <c r="AA75" s="39"/>
      <c r="AB75" s="39"/>
      <c r="AC75" s="90"/>
      <c r="AD75" s="91"/>
      <c r="AE75" s="91"/>
      <c r="AF75" s="91"/>
      <c r="AG75" s="39"/>
      <c r="AH75" s="91"/>
      <c r="AI75" s="39"/>
      <c r="AJ75" s="39"/>
      <c r="AK75" s="39"/>
    </row>
    <row r="76" spans="1:37" hidden="1">
      <c r="A76" s="39"/>
      <c r="B76" s="39"/>
      <c r="C76" s="39"/>
      <c r="D76" s="39"/>
      <c r="E76" s="39" t="s">
        <v>591</v>
      </c>
      <c r="F76" s="39" t="str">
        <f>IF($AH$66=1,1,"")</f>
        <v/>
      </c>
      <c r="G76" s="39"/>
      <c r="H76" s="39"/>
      <c r="I76" s="39"/>
      <c r="J76" s="46"/>
      <c r="K76" s="39"/>
      <c r="L76" s="39"/>
      <c r="M76" s="39"/>
      <c r="N76" s="39"/>
      <c r="O76" s="39"/>
      <c r="P76" s="39"/>
      <c r="Q76" s="46"/>
      <c r="R76" s="39"/>
      <c r="S76" s="39"/>
      <c r="T76" s="39"/>
      <c r="U76" s="39"/>
      <c r="V76" s="39"/>
      <c r="W76" s="39"/>
      <c r="X76" s="46"/>
      <c r="Y76" s="39"/>
      <c r="Z76" s="39"/>
      <c r="AA76" s="39"/>
      <c r="AB76" s="42" t="s">
        <v>360</v>
      </c>
      <c r="AC76" s="90"/>
      <c r="AD76" s="91"/>
      <c r="AE76" s="91"/>
      <c r="AF76" s="91"/>
      <c r="AG76" s="39"/>
      <c r="AH76" s="91"/>
      <c r="AI76" s="39"/>
      <c r="AJ76" s="39"/>
      <c r="AK76" s="39"/>
    </row>
    <row r="77" spans="1:37" ht="51.75" hidden="1" customHeight="1">
      <c r="A77" s="39"/>
      <c r="B77" s="39"/>
      <c r="C77" s="39"/>
      <c r="D77" s="42" t="s">
        <v>356</v>
      </c>
      <c r="E77" s="39"/>
      <c r="F77" s="39"/>
      <c r="G77" s="39"/>
      <c r="H77" s="39"/>
      <c r="I77" s="39"/>
      <c r="J77" s="39"/>
      <c r="K77" s="39"/>
      <c r="L77" s="39"/>
      <c r="M77" s="39"/>
      <c r="N77" s="39"/>
      <c r="O77" s="39"/>
      <c r="P77" s="39"/>
      <c r="Q77" s="39"/>
      <c r="R77" s="39"/>
      <c r="S77" s="39"/>
      <c r="T77" s="39"/>
      <c r="U77" s="39"/>
      <c r="V77" s="39"/>
      <c r="W77" s="39"/>
      <c r="X77" s="39"/>
      <c r="Y77" s="39"/>
      <c r="Z77" s="39"/>
      <c r="AA77" s="39"/>
      <c r="AB77" s="49"/>
      <c r="AC77" s="49"/>
      <c r="AD77" s="50" t="s">
        <v>75</v>
      </c>
      <c r="AE77" s="51" t="s">
        <v>571</v>
      </c>
      <c r="AF77" s="51" t="s">
        <v>572</v>
      </c>
      <c r="AG77" s="49"/>
      <c r="AH77" s="51" t="s">
        <v>223</v>
      </c>
      <c r="AI77" s="51" t="s">
        <v>573</v>
      </c>
      <c r="AJ77" s="39"/>
      <c r="AK77" s="39"/>
    </row>
    <row r="78" spans="1:37" hidden="1">
      <c r="A78" s="39"/>
      <c r="B78" s="39"/>
      <c r="C78" s="39"/>
      <c r="D78" s="39" t="s">
        <v>589</v>
      </c>
      <c r="E78" s="39"/>
      <c r="F78" s="39"/>
      <c r="G78" s="39"/>
      <c r="H78" s="39"/>
      <c r="I78" s="39"/>
      <c r="J78" s="39"/>
      <c r="K78" s="39"/>
      <c r="L78" s="39"/>
      <c r="M78" s="39"/>
      <c r="N78" s="39"/>
      <c r="O78" s="39"/>
      <c r="P78" s="39"/>
      <c r="Q78" s="39"/>
      <c r="R78" s="39"/>
      <c r="S78" s="39"/>
      <c r="T78" s="39"/>
      <c r="U78" s="39"/>
      <c r="V78" s="39"/>
      <c r="W78" s="39"/>
      <c r="X78" s="39"/>
      <c r="Y78" s="39"/>
      <c r="Z78" s="39"/>
      <c r="AA78" s="39"/>
      <c r="AB78" s="40" t="s">
        <v>247</v>
      </c>
      <c r="AC78" s="39"/>
      <c r="AD78" s="39"/>
      <c r="AE78" s="39"/>
      <c r="AF78" s="39"/>
      <c r="AG78" s="39"/>
      <c r="AH78" s="39"/>
      <c r="AI78" s="39"/>
      <c r="AJ78" s="39"/>
      <c r="AK78" s="39"/>
    </row>
    <row r="79" spans="1:37" hidden="1">
      <c r="A79" s="39"/>
      <c r="B79" s="39"/>
      <c r="C79" s="39"/>
      <c r="D79" s="39"/>
      <c r="E79" s="39" t="s">
        <v>371</v>
      </c>
      <c r="F79" s="39"/>
      <c r="G79" s="39"/>
      <c r="H79" s="39"/>
      <c r="I79" s="39"/>
      <c r="J79" s="39"/>
      <c r="K79" s="39"/>
      <c r="L79" s="39"/>
      <c r="M79" s="39"/>
      <c r="N79" s="39"/>
      <c r="O79" s="39"/>
      <c r="P79" s="39"/>
      <c r="Q79" s="39"/>
      <c r="R79" s="39"/>
      <c r="S79" s="39"/>
      <c r="T79" s="39"/>
      <c r="U79" s="39"/>
      <c r="V79" s="39"/>
      <c r="W79" s="39"/>
      <c r="X79" s="39"/>
      <c r="Y79" s="39"/>
      <c r="Z79" s="39"/>
      <c r="AA79" s="39"/>
      <c r="AB79" s="39"/>
      <c r="AC79" s="39" t="s">
        <v>19</v>
      </c>
      <c r="AD79" s="44">
        <f>IF(OR($J$34=Choices!$B$21,$J$35=Choices!$B$21,$J$36=Choices!$B$21,$J$37=Choices!$B$21),1,0)</f>
        <v>0</v>
      </c>
      <c r="AE79" s="44">
        <f>IF($Q$51=Choices!$B$36,IF(OR($E$34=Choices!$B$21,$E$35=Choices!$B$21,$E$36=Choices!$B$21,$E$37=Choices!$B$21,$Q$34=Choices!$B$21,$Q$35=Choices!$B$21,$Q$36=Choices!$B$21,$Q$37=Choices!$B$21),1,0),IF(OR($Q$34=Choices!$B$21,$Q$35=Choices!$B$21,$Q$36=Choices!$B$21,$Q$37=Choices!$B$21),1,0))</f>
        <v>0</v>
      </c>
      <c r="AF79" s="44">
        <f>IF(OR($E$34=Choices!$B$21,$E$35=Choices!$B$21,$E$36=Choices!$B$21,$E$37=Choices!$B$21,$Q$34=Choices!$B$21,$Q$35=Choices!$B$21,$Q$36=Choices!$B$21,$Q$37=Choices!$B$21),1,0)</f>
        <v>0</v>
      </c>
      <c r="AG79" s="44"/>
      <c r="AH79" s="44">
        <f>IF(OR($E$34=Choices!$B$21,$E$35=Choices!$B$21,$E$36=Choices!$B$21,$E$37=Choices!$B$21),1,0)</f>
        <v>0</v>
      </c>
      <c r="AI79" s="44">
        <f>IF(OR($Q$34=Choices!$B$21,$Q$35=Choices!$B$21,$Q$36=Choices!$B$21,$Q$37=Choices!$B$21),1,0)</f>
        <v>0</v>
      </c>
      <c r="AJ79" s="39"/>
      <c r="AK79" s="39"/>
    </row>
    <row r="80" spans="1:37" hidden="1">
      <c r="A80" s="39"/>
      <c r="B80" s="39"/>
      <c r="C80" s="39"/>
      <c r="D80" s="39"/>
      <c r="E80" s="39" t="s">
        <v>372</v>
      </c>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row>
    <row r="81" spans="1:37" hidden="1">
      <c r="A81" s="39"/>
      <c r="B81" s="39"/>
      <c r="C81" s="39"/>
      <c r="D81" s="39"/>
      <c r="E81" s="39" t="s">
        <v>361</v>
      </c>
      <c r="F81" s="39"/>
      <c r="G81" s="39"/>
      <c r="H81" s="39"/>
      <c r="I81" s="39"/>
      <c r="J81" s="39"/>
      <c r="K81" s="39"/>
      <c r="L81" s="39"/>
      <c r="M81" s="39"/>
      <c r="N81" s="39"/>
      <c r="O81" s="39"/>
      <c r="P81" s="39"/>
      <c r="Q81" s="39"/>
      <c r="R81" s="39"/>
      <c r="S81" s="39"/>
      <c r="T81" s="39"/>
      <c r="U81" s="39"/>
      <c r="V81" s="39"/>
      <c r="W81" s="39"/>
      <c r="X81" s="39"/>
      <c r="Y81" s="39"/>
      <c r="Z81" s="39"/>
      <c r="AA81" s="39"/>
      <c r="AB81" s="39"/>
      <c r="AC81" s="39" t="s">
        <v>34</v>
      </c>
      <c r="AD81" s="44">
        <f>$J$25</f>
        <v>0</v>
      </c>
      <c r="AE81" s="44">
        <f>$E$25+$Q$25</f>
        <v>50</v>
      </c>
      <c r="AF81" s="44">
        <f>$E$25+$Q$25</f>
        <v>50</v>
      </c>
      <c r="AG81" s="44"/>
      <c r="AH81" s="44">
        <f>$E$25</f>
        <v>50</v>
      </c>
      <c r="AI81" s="44">
        <f>$Q$25</f>
        <v>0</v>
      </c>
      <c r="AJ81" s="39"/>
      <c r="AK81" s="39"/>
    </row>
    <row r="82" spans="1:37" hidden="1">
      <c r="A82" s="39"/>
      <c r="B82" s="39"/>
      <c r="C82" s="39"/>
      <c r="D82" s="39"/>
      <c r="E82" s="39" t="s">
        <v>363</v>
      </c>
      <c r="F82" s="39"/>
      <c r="G82" s="39"/>
      <c r="H82" s="39"/>
      <c r="I82" s="39"/>
      <c r="J82" s="39"/>
      <c r="K82" s="39"/>
      <c r="L82" s="39"/>
      <c r="M82" s="39"/>
      <c r="N82" s="39"/>
      <c r="O82" s="39"/>
      <c r="P82" s="39"/>
      <c r="Q82" s="39"/>
      <c r="R82" s="39"/>
      <c r="S82" s="39"/>
      <c r="T82" s="39"/>
      <c r="U82" s="39"/>
      <c r="V82" s="39"/>
      <c r="W82" s="39"/>
      <c r="X82" s="39"/>
      <c r="Y82" s="39"/>
      <c r="Z82" s="39"/>
      <c r="AA82" s="39"/>
      <c r="AB82" s="39"/>
      <c r="AC82" s="39" t="s">
        <v>37</v>
      </c>
      <c r="AD82" s="44">
        <f>IF(OR($J$34=Choices!$B$21,$J$35=Choices!$B$21,$J$36=Choices!$B$21,$J$37=Choices!$B$21),1,0)</f>
        <v>0</v>
      </c>
      <c r="AE82" s="44">
        <f>IF($Q$51=Choices!$B$36,IF(OR($E$34=Choices!$B$21,$E$35=Choices!$B$21,$E$36=Choices!$B$21,$E$37=Choices!$B$21,$Q$34=Choices!$B$21,$Q$35=Choices!$B$21,$Q$36=Choices!$B$21,$Q$37=Choices!$B$21),1,0),IF(OR($Q$34=Choices!$B$21,$Q$35=Choices!$B$21,$Q$36=Choices!$B$21,$Q$37=Choices!$B$21),1,0))</f>
        <v>0</v>
      </c>
      <c r="AF82" s="44">
        <f>IF(OR($E$34=Choices!$B$21,$E$35=Choices!$B$21,$E$36=Choices!$B$21,$E$37=Choices!$B$21,$Q$34=Choices!$B$21,$Q$35=Choices!$B$21,$Q$36=Choices!$B$21,$Q$37=Choices!$B$21),1,0)</f>
        <v>0</v>
      </c>
      <c r="AG82" s="44"/>
      <c r="AH82" s="44">
        <f>IF(OR($E$34=Choices!$B$21,$E$35=Choices!$B$21,$E$36=Choices!$B$21,$E$37=Choices!$B$21),1,0)</f>
        <v>0</v>
      </c>
      <c r="AI82" s="44">
        <f>IF(OR($Q$34=Choices!$B$21,$Q$35=Choices!$B$21,$Q$36=Choices!$B$21,$Q$37=Choices!$B$21),1,0)</f>
        <v>0</v>
      </c>
      <c r="AJ82" s="39"/>
      <c r="AK82" s="39"/>
    </row>
    <row r="83" spans="1:37" hidden="1">
      <c r="A83" s="39"/>
      <c r="B83" s="39"/>
      <c r="C83" s="39"/>
      <c r="D83" s="39"/>
      <c r="E83" s="39" t="s">
        <v>362</v>
      </c>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row>
    <row r="84" spans="1:37" hidden="1">
      <c r="A84" s="39"/>
      <c r="B84" s="39"/>
      <c r="C84" s="39"/>
      <c r="D84" s="39"/>
      <c r="E84" s="39" t="s">
        <v>590</v>
      </c>
      <c r="F84" s="39"/>
      <c r="G84" s="39"/>
      <c r="H84" s="39"/>
      <c r="I84" s="39"/>
      <c r="J84" s="39"/>
      <c r="K84" s="39"/>
      <c r="L84" s="39"/>
      <c r="M84" s="39"/>
      <c r="N84" s="39"/>
      <c r="O84" s="39"/>
      <c r="P84" s="39"/>
      <c r="Q84" s="39"/>
      <c r="R84" s="39"/>
      <c r="S84" s="39"/>
      <c r="T84" s="39"/>
      <c r="U84" s="39"/>
      <c r="V84" s="39"/>
      <c r="W84" s="39"/>
      <c r="X84" s="39"/>
      <c r="Y84" s="39"/>
      <c r="Z84" s="39"/>
      <c r="AA84" s="39"/>
      <c r="AB84" s="39"/>
      <c r="AC84" s="39" t="s">
        <v>169</v>
      </c>
      <c r="AD84" s="52">
        <f>IF(AD81="","",((AD81-'RC'!$I$6)/'RC'!$J$6*'RC'!$K$6+AD82*'RC'!$K$7+'RC'!$K$8)*'RC'!$J$8+'RC'!$I$8)</f>
        <v>183431.33767826483</v>
      </c>
      <c r="AE84" s="52">
        <f>IF(AE81="","",((AE81-'RC'!$I$6)/'RC'!$J$6*'RC'!$K$6+AE82*'RC'!$K$7+'RC'!$K$8)*'RC'!$J$8+'RC'!$I$8)</f>
        <v>183852.90745855751</v>
      </c>
      <c r="AF84" s="52">
        <f>IF(AF81="","",((AF81-'RC'!$I$6)/'RC'!$J$6*'RC'!$K$6+AF82*'RC'!$K$7+'RC'!$K$8)*'RC'!$J$8+'RC'!$I$8)</f>
        <v>183852.90745855751</v>
      </c>
      <c r="AG84" s="52"/>
      <c r="AH84" s="52">
        <f>IF(AH81="","",((AH81-'RC'!$I$6)/'RC'!$J$6*'RC'!$K$6+AH82*'RC'!$K$7+'RC'!$K$8)*'RC'!$J$8+'RC'!$I$8)</f>
        <v>183852.90745855751</v>
      </c>
      <c r="AI84" s="52">
        <f>IF(AI81="","",((AI81-'RC'!$I$6)/'RC'!$J$6*'RC'!$K$6+AI82*'RC'!$K$7+'RC'!$K$8)*'RC'!$J$8+'RC'!$I$8)</f>
        <v>183431.33767826483</v>
      </c>
      <c r="AJ84" s="39"/>
      <c r="AK84" s="39"/>
    </row>
    <row r="85" spans="1:37" hidden="1">
      <c r="A85" s="39"/>
      <c r="B85" s="39"/>
      <c r="C85" s="39"/>
      <c r="D85" s="39"/>
      <c r="E85" s="39" t="s">
        <v>650</v>
      </c>
      <c r="F85" s="39"/>
      <c r="G85" s="39"/>
      <c r="H85" s="39"/>
      <c r="I85" s="39"/>
      <c r="J85" s="39"/>
      <c r="K85" s="39"/>
      <c r="L85" s="39"/>
      <c r="M85" s="39"/>
      <c r="N85" s="39"/>
      <c r="O85" s="39"/>
      <c r="P85" s="39"/>
      <c r="Q85" s="39"/>
      <c r="R85" s="39"/>
      <c r="S85" s="39"/>
      <c r="T85" s="39"/>
      <c r="U85" s="39"/>
      <c r="V85" s="39"/>
      <c r="W85" s="39"/>
      <c r="X85" s="39"/>
      <c r="Y85" s="39"/>
      <c r="Z85" s="39"/>
      <c r="AA85" s="39"/>
      <c r="AB85" s="49"/>
      <c r="AC85" s="49"/>
      <c r="AD85" s="49"/>
      <c r="AE85" s="49"/>
      <c r="AF85" s="49"/>
      <c r="AG85" s="49"/>
      <c r="AH85" s="49"/>
      <c r="AI85" s="49"/>
      <c r="AJ85" s="39"/>
      <c r="AK85" s="39"/>
    </row>
    <row r="86" spans="1:37" hidden="1">
      <c r="A86" s="39"/>
      <c r="B86" s="39"/>
      <c r="C86" s="39"/>
      <c r="D86" s="39"/>
      <c r="E86" s="39" t="s">
        <v>649</v>
      </c>
      <c r="F86" s="39"/>
      <c r="G86" s="39"/>
      <c r="H86" s="39"/>
      <c r="I86" s="39"/>
      <c r="J86" s="39"/>
      <c r="K86" s="39"/>
      <c r="L86" s="39"/>
      <c r="M86" s="39"/>
      <c r="N86" s="39"/>
      <c r="O86" s="39"/>
      <c r="P86" s="39"/>
      <c r="Q86" s="39"/>
      <c r="R86" s="39"/>
      <c r="S86" s="39"/>
      <c r="T86" s="39"/>
      <c r="U86" s="39"/>
      <c r="V86" s="39"/>
      <c r="W86" s="39"/>
      <c r="X86" s="39"/>
      <c r="Y86" s="39"/>
      <c r="Z86" s="39"/>
      <c r="AA86" s="39"/>
      <c r="AB86" s="40" t="s">
        <v>246</v>
      </c>
      <c r="AC86" s="39"/>
      <c r="AD86" s="39"/>
      <c r="AE86" s="39"/>
      <c r="AF86" s="39"/>
      <c r="AG86" s="39"/>
      <c r="AH86" s="39"/>
      <c r="AI86" s="39"/>
      <c r="AJ86" s="39"/>
      <c r="AK86" s="39"/>
    </row>
    <row r="87" spans="1:37" hidden="1">
      <c r="A87" s="39"/>
      <c r="B87" s="39"/>
      <c r="C87" s="39"/>
      <c r="D87" s="39"/>
      <c r="E87" s="39" t="s">
        <v>602</v>
      </c>
      <c r="F87" s="39"/>
      <c r="G87" s="39"/>
      <c r="H87" s="39"/>
      <c r="I87" s="39"/>
      <c r="J87" s="39"/>
      <c r="K87" s="39"/>
      <c r="L87" s="39"/>
      <c r="M87" s="39"/>
      <c r="N87" s="39"/>
      <c r="O87" s="39"/>
      <c r="P87" s="39"/>
      <c r="Q87" s="39"/>
      <c r="R87" s="39"/>
      <c r="S87" s="39"/>
      <c r="T87" s="39"/>
      <c r="U87" s="39"/>
      <c r="V87" s="39"/>
      <c r="W87" s="39"/>
      <c r="X87" s="39"/>
      <c r="Y87" s="39"/>
      <c r="Z87" s="39"/>
      <c r="AA87" s="39"/>
      <c r="AB87" s="39"/>
      <c r="AC87" s="39" t="s">
        <v>169</v>
      </c>
      <c r="AD87" s="52">
        <f>IF(AD95="","",((AD95-'RC'!$I$19)/'RC'!$J$19*'RC'!$K$19+(AD96-'RC'!$I$20)/'RC'!$J$20*'RC'!$K$20+AD97*'RC'!$K$21+AD98*'RC'!$K$22+AD79*'RC'!$K$23+'RC'!$K$24)*'RC'!$J$24+'RC'!$I$24)</f>
        <v>17199.792755110502</v>
      </c>
      <c r="AE87" s="52">
        <f>IF(AE95="","",((AE95-'RC'!$I$19)/'RC'!$J$19*'RC'!$K$19+(AE96-'RC'!$I$20)/'RC'!$J$20*'RC'!$K$20+AE97*'RC'!$K$21+AE98*'RC'!$K$22+AE79*'RC'!$K$23+'RC'!$K$24)*'RC'!$J$24+'RC'!$I$24)</f>
        <v>15257.915210428771</v>
      </c>
      <c r="AF87" s="52">
        <f>IF(AF95="","",((AF95-'RC'!$I$19)/'RC'!$J$19*'RC'!$K$19+(AF96-'RC'!$I$20)/'RC'!$J$20*'RC'!$K$20+AF97*'RC'!$K$21+AF98*'RC'!$K$22+AF79*'RC'!$K$23+'RC'!$K$24)*'RC'!$J$24+'RC'!$I$24)</f>
        <v>17835.040608240197</v>
      </c>
      <c r="AG87" s="52"/>
      <c r="AH87" s="52">
        <f>IF(AH95="","",((AH95-'RC'!$I$19)/'RC'!$J$19*'RC'!$K$19+(AH96-'RC'!$I$20)/'RC'!$J$20*'RC'!$K$20+AH97*'RC'!$K$21+AH98*'RC'!$K$22+AH79*'RC'!$K$23+'RC'!$K$24)*'RC'!$J$24+'RC'!$I$24)</f>
        <v>17835.040608240197</v>
      </c>
      <c r="AI87" s="52">
        <f>IF(AI95="","",((AI95-'RC'!$I$19)/'RC'!$J$19*'RC'!$K$19+(AI96-'RC'!$I$20)/'RC'!$J$20*'RC'!$K$20+AI97*'RC'!$K$21+AI98*'RC'!$K$22+AI79*'RC'!$K$23+'RC'!$K$24)*'RC'!$J$24+'RC'!$I$24)</f>
        <v>14622.667357299084</v>
      </c>
      <c r="AJ87" s="39"/>
      <c r="AK87" s="39"/>
    </row>
    <row r="88" spans="1:37" hidden="1">
      <c r="A88" s="39"/>
      <c r="B88" s="39"/>
      <c r="C88" s="39"/>
      <c r="D88" s="39" t="s">
        <v>585</v>
      </c>
      <c r="E88" s="39"/>
      <c r="F88" s="39"/>
      <c r="G88" s="39"/>
      <c r="H88" s="39"/>
      <c r="I88" s="39"/>
      <c r="J88" s="39"/>
      <c r="K88" s="39"/>
      <c r="L88" s="39"/>
      <c r="M88" s="39"/>
      <c r="N88" s="39"/>
      <c r="O88" s="39"/>
      <c r="P88" s="39"/>
      <c r="Q88" s="39"/>
      <c r="R88" s="39"/>
      <c r="S88" s="39"/>
      <c r="T88" s="39"/>
      <c r="U88" s="39"/>
      <c r="V88" s="39"/>
      <c r="W88" s="39"/>
      <c r="X88" s="39"/>
      <c r="Y88" s="39"/>
      <c r="Z88" s="39"/>
      <c r="AA88" s="39"/>
      <c r="AB88" s="40"/>
      <c r="AC88" s="39" t="s">
        <v>34</v>
      </c>
      <c r="AD88" s="44">
        <f>$J$25</f>
        <v>0</v>
      </c>
      <c r="AE88" s="44">
        <f>$E$25+$Q$25</f>
        <v>50</v>
      </c>
      <c r="AF88" s="44">
        <f>$E$25+$Q$25</f>
        <v>50</v>
      </c>
      <c r="AG88" s="44"/>
      <c r="AH88" s="44">
        <f>$E$25</f>
        <v>50</v>
      </c>
      <c r="AI88" s="44">
        <f>$Q$25</f>
        <v>0</v>
      </c>
      <c r="AJ88" s="39"/>
      <c r="AK88" s="39"/>
    </row>
    <row r="89" spans="1:37" hidden="1">
      <c r="A89" s="39"/>
      <c r="B89" s="39"/>
      <c r="C89" s="39"/>
      <c r="D89" s="39"/>
      <c r="E89" s="39" t="s">
        <v>364</v>
      </c>
      <c r="F89" s="39"/>
      <c r="G89" s="39"/>
      <c r="H89" s="39"/>
      <c r="I89" s="39"/>
      <c r="J89" s="39"/>
      <c r="K89" s="39"/>
      <c r="L89" s="39"/>
      <c r="M89" s="39"/>
      <c r="N89" s="39"/>
      <c r="O89" s="39"/>
      <c r="P89" s="39"/>
      <c r="Q89" s="39"/>
      <c r="R89" s="39"/>
      <c r="S89" s="39"/>
      <c r="T89" s="39"/>
      <c r="U89" s="39"/>
      <c r="V89" s="39"/>
      <c r="W89" s="39"/>
      <c r="X89" s="39"/>
      <c r="Y89" s="39"/>
      <c r="Z89" s="39"/>
      <c r="AA89" s="39"/>
      <c r="AB89" s="39"/>
      <c r="AC89" s="39" t="s">
        <v>35</v>
      </c>
      <c r="AD89" s="44">
        <f>IF(OR($J$30=Choices!$B$17,$J$31=Choices!$B$17,$J$32=Choices!$B$17,$J$33=Choices!$B$17),1,0)</f>
        <v>0</v>
      </c>
      <c r="AE89" s="44">
        <f>IF($Q$50=Choices!$B$36,IF(OR($E$30=Choices!$B$17,$E$31=Choices!$B$17,$E$32=Choices!$B$17,$E$33=Choices!$B$17,$Q$30=Choices!$B$17,$Q$31=Choices!$B$17,$Q$32=Choices!$B$17,$Q$33=Choices!$B$17),1,0),IF(OR($Q$30=Choices!$B$17,$Q$31=Choices!$B$17,$Q$32=Choices!$B$17,$Q$33=Choices!$B$17),1,0))</f>
        <v>0</v>
      </c>
      <c r="AF89" s="44">
        <f>IF(OR($E$30=Choices!$B$17,$E$31=Choices!$B$17,$E$32=Choices!$B$17,$E$33=Choices!$B$17,$Q$30=Choices!$B$17,$Q$31=Choices!$B$17,$Q$32=Choices!$B$17,$Q$33=Choices!$B$17),1,0)</f>
        <v>0</v>
      </c>
      <c r="AG89" s="44"/>
      <c r="AH89" s="44">
        <f>IF(OR($E$30=Choices!$B$17,$E$31=Choices!$B$17,$E$32=Choices!$B$17,$E$33=Choices!$B$17),1,0)</f>
        <v>0</v>
      </c>
      <c r="AI89" s="44">
        <f>IF(OR($Q$30=Choices!$B$17,$Q$31=Choices!$B$17,$Q$32=Choices!$B$17,$Q$33=Choices!$B$17),1,0)</f>
        <v>0</v>
      </c>
      <c r="AJ89" s="39"/>
      <c r="AK89" s="39"/>
    </row>
    <row r="90" spans="1:37" hidden="1">
      <c r="A90" s="39"/>
      <c r="B90" s="39"/>
      <c r="C90" s="39"/>
      <c r="D90" s="39"/>
      <c r="E90" s="39" t="s">
        <v>365</v>
      </c>
      <c r="F90" s="39"/>
      <c r="G90" s="39"/>
      <c r="H90" s="39"/>
      <c r="I90" s="39"/>
      <c r="J90" s="39"/>
      <c r="K90" s="39"/>
      <c r="L90" s="39"/>
      <c r="M90" s="39"/>
      <c r="N90" s="39"/>
      <c r="O90" s="39"/>
      <c r="P90" s="39"/>
      <c r="Q90" s="39"/>
      <c r="R90" s="39"/>
      <c r="S90" s="39"/>
      <c r="T90" s="39"/>
      <c r="U90" s="39"/>
      <c r="V90" s="39"/>
      <c r="W90" s="39"/>
      <c r="X90" s="39"/>
      <c r="Y90" s="39"/>
      <c r="Z90" s="39"/>
      <c r="AA90" s="39"/>
      <c r="AB90" s="39"/>
      <c r="AC90" s="39" t="s">
        <v>36</v>
      </c>
      <c r="AD90" s="44">
        <f>IF(OR($J$34=Choices!$B$21,$J$35=Choices!$B$21,$J$36=Choices!$B$21,$J$37=Choices!$B$21),1,0)</f>
        <v>0</v>
      </c>
      <c r="AE90" s="44">
        <f>IF($Q$51=Choices!$B$36,IF(OR($E$34=Choices!$B$21,$E$35=Choices!$B$21,$E$36=Choices!$B$21,$E$37=Choices!$B$21,$Q$34=Choices!$B$21,$Q$35=Choices!$B$21,$Q$36=Choices!$B$21,$Q$37=Choices!$B$21),1,0),IF(OR($Q$34=Choices!$B$21,$Q$35=Choices!$B$21,$Q$36=Choices!$B$21,$Q$37=Choices!$B$21),1,0))</f>
        <v>0</v>
      </c>
      <c r="AF90" s="44">
        <f>IF(OR($E$34=Choices!$B$21,$E$35=Choices!$B$21,$E$36=Choices!$B$21,$E$37=Choices!$B$21,$Q$34=Choices!$B$21,$Q$35=Choices!$B$21,$Q$36=Choices!$B$21,$Q$37=Choices!$B$21),1,0)</f>
        <v>0</v>
      </c>
      <c r="AG90" s="44"/>
      <c r="AH90" s="44">
        <f>IF(OR($J$34=Choices!$B$21,$J$35=Choices!$B$21,$J$36=Choices!$B$21,$J$37=Choices!$B$21),1,0)</f>
        <v>0</v>
      </c>
      <c r="AI90" s="44">
        <f>IF(OR($Q$34=Choices!$B$21,$Q$35=Choices!$B$21,$Q$36=Choices!$B$21,$Q$37=Choices!$B$21),1,0)</f>
        <v>0</v>
      </c>
      <c r="AJ90" s="39"/>
      <c r="AK90" s="39"/>
    </row>
    <row r="91" spans="1:37" hidden="1">
      <c r="A91" s="39"/>
      <c r="B91" s="39"/>
      <c r="C91" s="39"/>
      <c r="D91" s="39"/>
      <c r="E91" s="39" t="s">
        <v>366</v>
      </c>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row>
    <row r="92" spans="1:37" hidden="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t="s">
        <v>169</v>
      </c>
      <c r="AD92" s="52">
        <f>IF(AD88="","",((AD88-'RC'!$I$12)/'RC'!$J$12*'RC'!$K$12+AD89*'RC'!$K$13+AD90*'RC'!$K$14+'RC'!$K$15)*'RC'!$J$15+'RC'!$I$15)</f>
        <v>20246.178535711457</v>
      </c>
      <c r="AE92" s="52">
        <f>IF(AE88="","",((AE88-'RC'!$I$12)/'RC'!$J$12*'RC'!$K$12+AE89*'RC'!$K$13+AE90*'RC'!$K$14+'RC'!$K$15)*'RC'!$J$15+'RC'!$I$15)</f>
        <v>20884.388054453899</v>
      </c>
      <c r="AF92" s="52">
        <f>IF(AF88="","",((AF88-'RC'!$I$12)/'RC'!$J$12*'RC'!$K$12+AF89*'RC'!$K$13+AF90*'RC'!$K$14+'RC'!$K$15)*'RC'!$J$15+'RC'!$I$15)</f>
        <v>20884.388054453899</v>
      </c>
      <c r="AG92" s="52"/>
      <c r="AH92" s="52">
        <f>IF(AH88="","",((AH88-'RC'!$I$12)/'RC'!$J$12*'RC'!$K$12+AH89*'RC'!$K$13+AH90*'RC'!$K$14+'RC'!$K$15)*'RC'!$J$15+'RC'!$I$15)</f>
        <v>20884.388054453899</v>
      </c>
      <c r="AI92" s="52">
        <f>IF(AI88="","",((AI88-'RC'!$I$12)/'RC'!$J$12*'RC'!$K$12+AI89*'RC'!$K$13+AI90*'RC'!$K$14+'RC'!$K$15)*'RC'!$J$15+'RC'!$I$15)</f>
        <v>20246.178535711457</v>
      </c>
      <c r="AJ92" s="39"/>
      <c r="AK92" s="39"/>
    </row>
    <row r="93" spans="1:37" hidden="1">
      <c r="A93" s="39"/>
      <c r="B93" s="39"/>
      <c r="C93" s="39"/>
      <c r="D93" s="39" t="s">
        <v>587</v>
      </c>
      <c r="E93" s="39"/>
      <c r="F93" s="39"/>
      <c r="G93" s="39"/>
      <c r="H93" s="39"/>
      <c r="I93" s="39"/>
      <c r="J93" s="39"/>
      <c r="K93" s="39"/>
      <c r="L93" s="39"/>
      <c r="M93" s="39"/>
      <c r="N93" s="39"/>
      <c r="O93" s="39"/>
      <c r="P93" s="39"/>
      <c r="Q93" s="39"/>
      <c r="R93" s="39"/>
      <c r="S93" s="39"/>
      <c r="T93" s="39"/>
      <c r="U93" s="39"/>
      <c r="V93" s="39"/>
      <c r="W93" s="39"/>
      <c r="X93" s="39"/>
      <c r="Y93" s="39"/>
      <c r="Z93" s="39"/>
      <c r="AA93" s="39"/>
      <c r="AB93" s="49"/>
      <c r="AC93" s="49"/>
      <c r="AD93" s="49"/>
      <c r="AE93" s="49"/>
      <c r="AF93" s="49"/>
      <c r="AG93" s="49"/>
      <c r="AH93" s="49"/>
      <c r="AI93" s="49"/>
      <c r="AJ93" s="39"/>
      <c r="AK93" s="39"/>
    </row>
    <row r="94" spans="1:37" hidden="1">
      <c r="A94" s="39"/>
      <c r="B94" s="39"/>
      <c r="C94" s="39"/>
      <c r="D94" s="39"/>
      <c r="E94" s="39" t="s">
        <v>367</v>
      </c>
      <c r="F94" s="39"/>
      <c r="G94" s="39"/>
      <c r="H94" s="39"/>
      <c r="I94" s="39"/>
      <c r="J94" s="39"/>
      <c r="K94" s="39"/>
      <c r="L94" s="39"/>
      <c r="M94" s="39"/>
      <c r="N94" s="39"/>
      <c r="O94" s="39"/>
      <c r="P94" s="39"/>
      <c r="Q94" s="39"/>
      <c r="R94" s="39"/>
      <c r="S94" s="39"/>
      <c r="T94" s="39"/>
      <c r="U94" s="39"/>
      <c r="V94" s="39"/>
      <c r="W94" s="39"/>
      <c r="X94" s="39"/>
      <c r="Y94" s="39"/>
      <c r="Z94" s="39"/>
      <c r="AA94" s="39"/>
      <c r="AB94" s="39" t="s">
        <v>13</v>
      </c>
      <c r="AC94" s="39"/>
      <c r="AD94" s="39"/>
      <c r="AE94" s="39"/>
      <c r="AF94" s="39"/>
      <c r="AG94" s="39"/>
      <c r="AH94" s="39"/>
      <c r="AI94" s="39"/>
      <c r="AJ94" s="39"/>
      <c r="AK94" s="39"/>
    </row>
    <row r="95" spans="1:37" hidden="1">
      <c r="A95" s="39"/>
      <c r="B95" s="39"/>
      <c r="C95" s="39"/>
      <c r="D95" s="39"/>
      <c r="E95" s="39" t="s">
        <v>368</v>
      </c>
      <c r="F95" s="39"/>
      <c r="G95" s="39"/>
      <c r="H95" s="39"/>
      <c r="I95" s="39"/>
      <c r="J95" s="39"/>
      <c r="K95" s="39"/>
      <c r="L95" s="39"/>
      <c r="M95" s="39"/>
      <c r="N95" s="39"/>
      <c r="O95" s="39"/>
      <c r="P95" s="39"/>
      <c r="Q95" s="39"/>
      <c r="R95" s="39"/>
      <c r="S95" s="39"/>
      <c r="T95" s="39"/>
      <c r="U95" s="39"/>
      <c r="V95" s="39"/>
      <c r="W95" s="39"/>
      <c r="X95" s="39"/>
      <c r="Y95" s="39"/>
      <c r="Z95" s="39"/>
      <c r="AA95" s="39"/>
      <c r="AB95" s="39"/>
      <c r="AC95" s="39" t="s">
        <v>17</v>
      </c>
      <c r="AD95" s="44">
        <f>$J$25</f>
        <v>0</v>
      </c>
      <c r="AE95" s="44">
        <f>$E$25+$Q$25</f>
        <v>50</v>
      </c>
      <c r="AF95" s="44">
        <f>$E$25+$Q$25</f>
        <v>50</v>
      </c>
      <c r="AG95" s="44"/>
      <c r="AH95" s="44">
        <f>$E$25</f>
        <v>50</v>
      </c>
      <c r="AI95" s="44">
        <f>$Q$25</f>
        <v>0</v>
      </c>
      <c r="AJ95" s="39"/>
      <c r="AK95" s="39"/>
    </row>
    <row r="96" spans="1:37" hidden="1">
      <c r="A96" s="39"/>
      <c r="B96" s="39"/>
      <c r="C96" s="39"/>
      <c r="D96" s="39"/>
      <c r="E96" s="39" t="s">
        <v>369</v>
      </c>
      <c r="F96" s="39"/>
      <c r="G96" s="39"/>
      <c r="H96" s="39"/>
      <c r="I96" s="39"/>
      <c r="J96" s="39"/>
      <c r="K96" s="39"/>
      <c r="L96" s="39"/>
      <c r="M96" s="39"/>
      <c r="N96" s="39"/>
      <c r="O96" s="39"/>
      <c r="P96" s="39"/>
      <c r="Q96" s="39"/>
      <c r="R96" s="39"/>
      <c r="S96" s="39"/>
      <c r="T96" s="39"/>
      <c r="U96" s="39"/>
      <c r="V96" s="39"/>
      <c r="W96" s="39"/>
      <c r="X96" s="39"/>
      <c r="Y96" s="39"/>
      <c r="Z96" s="39"/>
      <c r="AA96" s="39"/>
      <c r="AB96" s="39"/>
      <c r="AC96" s="39" t="s">
        <v>10</v>
      </c>
      <c r="AD96" s="44">
        <f>$E$38</f>
        <v>1</v>
      </c>
      <c r="AE96" s="44">
        <f>IF($Q$51=Choices!$B$36,$E$38+$Q$38,$Q$38)</f>
        <v>0</v>
      </c>
      <c r="AF96" s="44">
        <f>$E$38+$Q$38</f>
        <v>1</v>
      </c>
      <c r="AG96" s="44"/>
      <c r="AH96" s="44">
        <f>$E$38</f>
        <v>1</v>
      </c>
      <c r="AI96" s="44">
        <f>$Q$38</f>
        <v>0</v>
      </c>
      <c r="AJ96" s="39"/>
      <c r="AK96" s="39"/>
    </row>
    <row r="97" spans="1:37" hidden="1">
      <c r="A97" s="39"/>
      <c r="B97" s="39"/>
      <c r="C97" s="39"/>
      <c r="D97" s="39"/>
      <c r="E97" s="39" t="s">
        <v>370</v>
      </c>
      <c r="F97" s="39"/>
      <c r="G97" s="39"/>
      <c r="H97" s="39"/>
      <c r="I97" s="39"/>
      <c r="J97" s="39"/>
      <c r="K97" s="39"/>
      <c r="L97" s="39"/>
      <c r="M97" s="39"/>
      <c r="N97" s="39"/>
      <c r="O97" s="39"/>
      <c r="P97" s="39"/>
      <c r="Q97" s="39"/>
      <c r="R97" s="39"/>
      <c r="S97" s="39"/>
      <c r="T97" s="39"/>
      <c r="U97" s="39"/>
      <c r="V97" s="39"/>
      <c r="W97" s="39"/>
      <c r="X97" s="39"/>
      <c r="Y97" s="39"/>
      <c r="Z97" s="39"/>
      <c r="AA97" s="39"/>
      <c r="AB97" s="39"/>
      <c r="AC97" s="39" t="s">
        <v>18</v>
      </c>
      <c r="AD97" s="44">
        <f>IF(OR($J$30=Choices!$B$17,$J$31=Choices!$B$17,$J$32=Choices!$B$17,$J$33=Choices!$B$17),1,0)</f>
        <v>0</v>
      </c>
      <c r="AE97" s="44">
        <f>IF($Q$50=Choices!$B$36,IF(OR($E$30=Choices!$B$17,$E$31=Choices!$B$17,$E$32=Choices!$B$17,$E$33=Choices!$B$17,$Q$30=Choices!$B$17,$Q$31=Choices!$B$17,$Q$32=Choices!$B$17,$Q$33=Choices!$B$17),1,0),IF(OR($Q$30=Choices!$B$17,$Q$31=Choices!$B$17,$Q$32=Choices!$B$17,$Q$33=Choices!$B$17),1,0))</f>
        <v>0</v>
      </c>
      <c r="AF97" s="44">
        <f>IF(OR($E$30=Choices!$B$17,$E$31=Choices!$B$17,$E$32=Choices!$B$17,$E$33=Choices!$B$17,$Q$30=Choices!$B$17,$Q$31=Choices!$B$17,$Q$32=Choices!$B$17,$Q$33=Choices!$B$17),1,0)</f>
        <v>0</v>
      </c>
      <c r="AG97" s="44"/>
      <c r="AH97" s="44">
        <f>IF(OR($E$30=Choices!$B$17,$E$31=Choices!$B$17,$E$32=Choices!$B$17,$E$33=Choices!$B$17),1,0)</f>
        <v>0</v>
      </c>
      <c r="AI97" s="44">
        <f>IF(OR($Q$30=Choices!$B$17,$Q$31=Choices!$B$17,$Q$32=Choices!$B$17,$Q$33=Choices!$B$17),1,0)</f>
        <v>0</v>
      </c>
      <c r="AJ97" s="39"/>
      <c r="AK97" s="39"/>
    </row>
    <row r="98" spans="1:37" hidden="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t="s">
        <v>16</v>
      </c>
      <c r="AD98" s="44">
        <f>IF(OR($J$34=Choices!$B$20,$J$35=Choices!$B$20,$J$36=Choices!$B$20,$J$37=Choices!$B$20),1,0)</f>
        <v>0</v>
      </c>
      <c r="AE98" s="44">
        <f>IF($Q$51=Choices!$B$36,IF(OR($E$34=Choices!$B$20,$E$35=Choices!$B$20,$E$36=Choices!$B$20,$E$37=Choices!$B$20,$Q$34=Choices!$B$20,$Q$35=Choices!$B$20,$Q$36=Choices!$B$20,$Q$37=Choices!$B$20),1,0),IF(OR($Q$34=Choices!$B$20,$Q$35=Choices!$B$20,$Q$36=Choices!$B$20,$Q$37=Choices!$B$20),1,0))</f>
        <v>0</v>
      </c>
      <c r="AF98" s="44">
        <f>IF(OR($E$34=Choices!$B$20,$E$35=Choices!$B$20,$E$36=Choices!$B$20,$E$37=Choices!$B$20,$Q$34=Choices!$B$20,$Q$35=Choices!$B$20,$Q$36=Choices!$B$20,$Q$37=Choices!$B$20),1,0)</f>
        <v>0</v>
      </c>
      <c r="AG98" s="44"/>
      <c r="AH98" s="44">
        <f>IF(OR($E$34=Choices!$B$20,$E$35=Choices!$B$20,$E$36=Choices!$B$20,$E$37=Choices!$B$20),1,0)</f>
        <v>0</v>
      </c>
      <c r="AI98" s="44">
        <f>IF(OR($Q$34=Choices!$B$20,$Q$35=Choices!$B$20,$Q$36=Choices!$B$20,$Q$37=Choices!$B$20),1,0)</f>
        <v>0</v>
      </c>
      <c r="AJ98" s="39"/>
      <c r="AK98" s="39"/>
    </row>
    <row r="99" spans="1:37" hidden="1">
      <c r="A99" s="39"/>
      <c r="B99" s="39"/>
      <c r="C99" s="39"/>
      <c r="D99" s="39" t="s">
        <v>431</v>
      </c>
      <c r="E99" s="39"/>
      <c r="F99" s="39"/>
      <c r="G99" s="39"/>
      <c r="H99" s="39"/>
      <c r="I99" s="39"/>
      <c r="J99" s="39"/>
      <c r="K99" s="39"/>
      <c r="L99" s="39"/>
      <c r="M99" s="39"/>
      <c r="N99" s="39"/>
      <c r="O99" s="39"/>
      <c r="P99" s="39"/>
      <c r="Q99" s="39"/>
      <c r="R99" s="39"/>
      <c r="S99" s="39"/>
      <c r="T99" s="39"/>
      <c r="U99" s="39"/>
      <c r="V99" s="39"/>
      <c r="W99" s="39"/>
      <c r="X99" s="39"/>
      <c r="Y99" s="39"/>
      <c r="Z99" s="39"/>
      <c r="AA99" s="39"/>
      <c r="AB99" s="49"/>
      <c r="AC99" s="49"/>
      <c r="AD99" s="49"/>
      <c r="AE99" s="49"/>
      <c r="AF99" s="49"/>
      <c r="AG99" s="49"/>
      <c r="AH99" s="49"/>
      <c r="AI99" s="49"/>
      <c r="AJ99" s="39"/>
      <c r="AK99" s="39"/>
    </row>
    <row r="100" spans="1:37" hidden="1">
      <c r="A100" s="39"/>
      <c r="B100" s="39"/>
      <c r="C100" s="39"/>
      <c r="D100" s="39"/>
      <c r="E100" s="39" t="s">
        <v>373</v>
      </c>
      <c r="F100" s="39"/>
      <c r="G100" s="39"/>
      <c r="H100" s="39"/>
      <c r="I100" s="39"/>
      <c r="J100" s="39"/>
      <c r="K100" s="39"/>
      <c r="L100" s="39"/>
      <c r="M100" s="39"/>
      <c r="N100" s="39"/>
      <c r="O100" s="39"/>
      <c r="P100" s="39"/>
      <c r="Q100" s="39"/>
      <c r="R100" s="39"/>
      <c r="S100" s="39"/>
      <c r="T100" s="39"/>
      <c r="U100" s="39"/>
      <c r="V100" s="39"/>
      <c r="W100" s="39"/>
      <c r="X100" s="39"/>
      <c r="Y100" s="39"/>
      <c r="Z100" s="39"/>
      <c r="AA100" s="39"/>
      <c r="AB100" s="39" t="s">
        <v>14</v>
      </c>
      <c r="AC100" s="39"/>
      <c r="AD100" s="39"/>
      <c r="AE100" s="39"/>
      <c r="AF100" s="39"/>
      <c r="AG100" s="39"/>
      <c r="AH100" s="39"/>
      <c r="AI100" s="39"/>
      <c r="AJ100" s="39"/>
      <c r="AK100" s="39"/>
    </row>
    <row r="101" spans="1:37" hidden="1">
      <c r="A101" s="39"/>
      <c r="B101" s="39"/>
      <c r="C101" s="39"/>
      <c r="D101" s="39"/>
      <c r="E101" s="39" t="s">
        <v>381</v>
      </c>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t="s">
        <v>21</v>
      </c>
      <c r="AD101" s="44">
        <f>$J$26</f>
        <v>0</v>
      </c>
      <c r="AE101" s="44">
        <f>$E$26+$Q$26</f>
        <v>100</v>
      </c>
      <c r="AF101" s="44">
        <f>$E$26+$Q$26</f>
        <v>100</v>
      </c>
      <c r="AG101" s="44"/>
      <c r="AH101" s="44">
        <f>$E$26</f>
        <v>100</v>
      </c>
      <c r="AI101" s="44">
        <f>$Q$26</f>
        <v>0</v>
      </c>
      <c r="AJ101" s="39"/>
      <c r="AK101" s="39"/>
    </row>
    <row r="102" spans="1:37" hidden="1">
      <c r="A102" s="39"/>
      <c r="B102" s="39"/>
      <c r="C102" s="39"/>
      <c r="D102" s="39"/>
      <c r="E102" s="39" t="s">
        <v>472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t="s">
        <v>20</v>
      </c>
      <c r="AD102" s="44">
        <f>IF($J$23=Choices!$B$6,1,0)</f>
        <v>0</v>
      </c>
      <c r="AE102" s="44">
        <f>IF($Q$23=Choices!$B$6,1,0)</f>
        <v>0</v>
      </c>
      <c r="AF102" s="44">
        <f>IF($Q$23=Choices!$B$6,1,0)</f>
        <v>0</v>
      </c>
      <c r="AG102" s="44"/>
      <c r="AH102" s="44">
        <f>IF($E$23=Choices!$B$6,1,0)</f>
        <v>1</v>
      </c>
      <c r="AI102" s="44">
        <f>IF($Q$23=Choices!$B$6,1,0)</f>
        <v>0</v>
      </c>
      <c r="AJ102" s="39"/>
      <c r="AK102" s="39"/>
    </row>
    <row r="103" spans="1:37" hidden="1">
      <c r="A103" s="39"/>
      <c r="B103" s="39"/>
      <c r="C103" s="39"/>
      <c r="D103" s="39" t="s">
        <v>222</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row>
    <row r="104" spans="1:37" hidden="1">
      <c r="A104" s="39"/>
      <c r="B104" s="39"/>
      <c r="C104" s="39"/>
      <c r="D104" s="39"/>
      <c r="E104" s="39" t="s">
        <v>595</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t="s">
        <v>169</v>
      </c>
      <c r="AD104" s="52">
        <f>IF(AD101="","",(AD101-'RC'!$I$28)/'RC'!$J$28*'RC'!$K$28+AD102*'RC'!$K$29+'RC'!$K$30)/1000</f>
        <v>-430.65865846435747</v>
      </c>
      <c r="AE104" s="52">
        <f>IF(AE101="","",(AE101-'RC'!$I$28)/'RC'!$J$28*'RC'!$K$28+AE102*'RC'!$K$29+'RC'!$K$30)/1000</f>
        <v>614.19704716856779</v>
      </c>
      <c r="AF104" s="52">
        <f>IF(AF101="","",(AF101-'RC'!$I$28)/'RC'!$J$28*'RC'!$K$28+AF102*'RC'!$K$29+'RC'!$K$30)/1000</f>
        <v>614.19704716856779</v>
      </c>
      <c r="AG104" s="52"/>
      <c r="AH104" s="52">
        <f>IF(AH101="","",(AH101-'RC'!$I$28)/'RC'!$J$28*'RC'!$K$28+AH102*'RC'!$K$29+'RC'!$K$30)/1000</f>
        <v>2019.8859732041299</v>
      </c>
      <c r="AI104" s="52">
        <f>IF(AI101="","",(AI101-'RC'!$I$28)/'RC'!$J$28*'RC'!$K$28+AI102*'RC'!$K$29+'RC'!$K$30)/1000</f>
        <v>-430.65865846435747</v>
      </c>
      <c r="AJ104" s="39"/>
      <c r="AK104" s="39"/>
    </row>
    <row r="105" spans="1:37" hidden="1">
      <c r="A105" s="39"/>
      <c r="B105" s="39"/>
      <c r="C105" s="39"/>
      <c r="D105" s="39"/>
      <c r="E105" s="39" t="s">
        <v>590</v>
      </c>
      <c r="F105" s="39"/>
      <c r="G105" s="39"/>
      <c r="H105" s="39"/>
      <c r="I105" s="39"/>
      <c r="J105" s="39"/>
      <c r="K105" s="39"/>
      <c r="L105" s="39"/>
      <c r="M105" s="39"/>
      <c r="N105" s="39"/>
      <c r="O105" s="39"/>
      <c r="P105" s="39"/>
      <c r="Q105" s="39"/>
      <c r="R105" s="39"/>
      <c r="S105" s="39"/>
      <c r="T105" s="39"/>
      <c r="U105" s="39"/>
      <c r="V105" s="39"/>
      <c r="W105" s="39"/>
      <c r="X105" s="39"/>
      <c r="Y105" s="39"/>
      <c r="Z105" s="39"/>
      <c r="AA105" s="39"/>
      <c r="AB105" s="49"/>
      <c r="AC105" s="49"/>
      <c r="AD105" s="49"/>
      <c r="AE105" s="49"/>
      <c r="AF105" s="49"/>
      <c r="AG105" s="49"/>
      <c r="AH105" s="49"/>
      <c r="AI105" s="49"/>
      <c r="AJ105" s="39"/>
      <c r="AK105" s="39"/>
    </row>
    <row r="106" spans="1:37" hidden="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119" t="s">
        <v>338</v>
      </c>
      <c r="AC106" s="53"/>
      <c r="AD106" s="53"/>
      <c r="AE106" s="39"/>
      <c r="AF106" s="39"/>
      <c r="AG106" s="39"/>
      <c r="AH106" s="39"/>
      <c r="AI106" s="39"/>
      <c r="AJ106" s="39"/>
      <c r="AK106" s="39"/>
    </row>
    <row r="107" spans="1:37" hidden="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t="s">
        <v>435</v>
      </c>
      <c r="AD107" s="39"/>
      <c r="AE107" s="39"/>
      <c r="AF107" s="39"/>
      <c r="AG107" s="44">
        <f>$Y$24+$Y$25</f>
        <v>9</v>
      </c>
      <c r="AH107" s="39"/>
      <c r="AI107" s="39"/>
      <c r="AJ107" s="39"/>
      <c r="AK107" s="39"/>
    </row>
    <row r="108" spans="1:37" hidden="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t="s">
        <v>436</v>
      </c>
      <c r="AD108" s="39"/>
      <c r="AE108" s="39"/>
      <c r="AF108" s="39"/>
      <c r="AG108" s="44">
        <f>$Y$24+$Y$26</f>
        <v>11</v>
      </c>
      <c r="AH108" s="39"/>
      <c r="AI108" s="39"/>
      <c r="AJ108" s="39"/>
      <c r="AK108" s="39"/>
    </row>
    <row r="109" spans="1:37" hidden="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53"/>
      <c r="AC109" s="40" t="s">
        <v>169</v>
      </c>
      <c r="AD109" s="53"/>
      <c r="AE109" s="39"/>
      <c r="AF109" s="39"/>
      <c r="AG109" s="44">
        <f>($AG$107*'RC'!$C$50+$AG$108*'RC'!$C$51)/1000</f>
        <v>139.6</v>
      </c>
      <c r="AH109" s="39"/>
      <c r="AI109" s="39"/>
      <c r="AJ109" s="39"/>
      <c r="AK109" s="39"/>
    </row>
    <row r="110" spans="1:37" hidden="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row>
    <row r="111" spans="1:37">
      <c r="AB111" s="6"/>
    </row>
    <row r="133" spans="9:9">
      <c r="I133" s="10"/>
    </row>
  </sheetData>
  <sheetProtection algorithmName="SHA-512" hashValue="CjKTIMHMh0Fo/HFtacjM6Fe4QL0X6Pq9lWwpX9RDlOXAw2+KVMnpTU7wUh+ewc36i7RlOMpuLc0Grb5v7JWpew==" saltValue="GsqUkQVxPef2+UFzZebtKg==" spinCount="100000" sheet="1" objects="1" scenarios="1"/>
  <mergeCells count="5">
    <mergeCell ref="I4:I5"/>
    <mergeCell ref="J4:J5"/>
    <mergeCell ref="Q11:Y17"/>
    <mergeCell ref="D13:D15"/>
    <mergeCell ref="P55:Q55"/>
  </mergeCells>
  <phoneticPr fontId="1"/>
  <dataValidations count="6">
    <dataValidation allowBlank="1" showInputMessage="1" showErrorMessage="1" promptTitle="現状の事業" prompt="現状の事業についてはシナリオ1のシートに入力して下さい．" sqref="E23:E27 E30:E38" xr:uid="{6DBCAB7B-4213-43D5-AB82-6EC582A45895}"/>
    <dataValidation type="whole" operator="greaterThanOrEqual" allowBlank="1" showInputMessage="1" showErrorMessage="1" promptTitle="配水池容量" prompt="一般的には，必要な日配水量の半分程度の容量を確保します．_x000a_配水池の容量を増やす場合は，配水池の数量を増やしてください．" sqref="K49 R47 K53" xr:uid="{8DE01724-EAC0-4F29-86FF-C51BD9CF0119}">
      <formula1>0</formula1>
    </dataValidation>
    <dataValidation type="whole" operator="greaterThanOrEqual" allowBlank="1" showInputMessage="1" showErrorMessage="1" sqref="Y33 Q38 K42:K48 Y44 Y48 Y51 Y54 R42:R46 R48:R52 K50:K52 J38" xr:uid="{2945D75A-BD31-42AF-92E2-D03C29CCBEED}">
      <formula1>0</formula1>
    </dataValidation>
    <dataValidation type="whole" operator="greaterThan" allowBlank="1" showInputMessage="1" showErrorMessage="1" promptTitle="接続先の余力確認" prompt="接続先の，計画給水人口と現在給水人口の差が，再編対象水道の現在給水人口より大きいことを確認してください" sqref="Q24" xr:uid="{28AB4923-5824-4639-943B-B132FE6A2394}">
      <formula1>0</formula1>
    </dataValidation>
    <dataValidation type="whole" operator="greaterThan" allowBlank="1" showInputMessage="1" showErrorMessage="1" promptTitle="接続あるいは統合先の給水人口" prompt="接続あるいは統合前の現在給水人口を入力してください．" sqref="Q25" xr:uid="{48D716C8-A886-43FA-AD17-C367247093D9}">
      <formula1>0</formula1>
    </dataValidation>
    <dataValidation type="whole" operator="greaterThan" allowBlank="1" showInputMessage="1" showErrorMessage="1" sqref="Y36 J24:J26 Y38 Y24:Y26 Y31 Q26" xr:uid="{2442AB55-43C7-4812-9566-AAA0D98D1D4D}">
      <formula1>0</formula1>
    </dataValidation>
  </dataValidations>
  <pageMargins left="0.70866141732283472" right="0.70866141732283472" top="0.74803149606299213" bottom="0.74803149606299213" header="0.31496062992125984" footer="0.31496062992125984"/>
  <pageSetup paperSize="8" scale="70"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4274" r:id="rId4" name="Check Box 2">
              <controlPr locked="0" defaultSize="0" autoFill="0" autoLine="0" autoPict="0">
                <anchor moveWithCells="1">
                  <from>
                    <xdr:col>2</xdr:col>
                    <xdr:colOff>19050</xdr:colOff>
                    <xdr:row>5</xdr:row>
                    <xdr:rowOff>228600</xdr:rowOff>
                  </from>
                  <to>
                    <xdr:col>3</xdr:col>
                    <xdr:colOff>85725</xdr:colOff>
                    <xdr:row>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E1DB6B76-D54F-4176-B394-690B1C766AAB}">
            <xm:f>$J$4&lt;&gt;Choices!$B$26</xm:f>
            <x14:dxf>
              <fill>
                <patternFill>
                  <bgColor theme="6" tint="0.59996337778862885"/>
                </patternFill>
              </fill>
            </x14:dxf>
          </x14:cfRule>
          <xm:sqref>J23:J27 J30:J38</xm:sqref>
        </x14:conditionalFormatting>
        <x14:conditionalFormatting xmlns:xm="http://schemas.microsoft.com/office/excel/2006/main">
          <x14:cfRule type="expression" priority="1" id="{11033FD6-1BF9-43EE-8452-C4E2F50A12F6}">
            <xm:f>$J$4&lt;&gt;Choices!$B$26</xm:f>
            <x14:dxf>
              <fill>
                <patternFill>
                  <bgColor theme="6" tint="0.59996337778862885"/>
                </patternFill>
              </fill>
            </x14:dxf>
          </x14:cfRule>
          <x14:cfRule type="expression" priority="2" id="{D57F76C9-C556-4EFB-9467-007165B55934}">
            <xm:f>$J$4=Choices!$B$26</xm:f>
            <x14:dxf>
              <fill>
                <patternFill>
                  <bgColor theme="7" tint="0.79998168889431442"/>
                </patternFill>
              </fill>
            </x14:dxf>
          </x14:cfRule>
          <xm:sqref>J42:K53</xm:sqref>
        </x14:conditionalFormatting>
        <x14:conditionalFormatting xmlns:xm="http://schemas.microsoft.com/office/excel/2006/main">
          <x14:cfRule type="expression" priority="4" id="{F603BCCE-528A-4B39-82C3-1417E565DE0E}">
            <xm:f>OR($J$4="",$J$4=Choices!$B$26,$J$4=Choices!$B$29)</xm:f>
            <x14:dxf>
              <fill>
                <patternFill>
                  <bgColor theme="0" tint="-0.14996795556505021"/>
                </patternFill>
              </fill>
            </x14:dxf>
          </x14:cfRule>
          <xm:sqref>Q23:Q27 Q30:Q38</xm:sqref>
        </x14:conditionalFormatting>
        <x14:conditionalFormatting xmlns:xm="http://schemas.microsoft.com/office/excel/2006/main">
          <x14:cfRule type="expression" priority="5" id="{B925877E-3EF2-45A2-B875-DF618F3A4330}">
            <xm:f>$J$4&lt;&gt;Choices!$B$27</xm:f>
            <x14:dxf>
              <fill>
                <patternFill>
                  <bgColor theme="6" tint="0.59996337778862885"/>
                </patternFill>
              </fill>
            </x14:dxf>
          </x14:cfRule>
          <x14:cfRule type="expression" priority="6" id="{09771A45-564C-4708-ACFF-35AB1F2DC035}">
            <xm:f>$J$4=Choices!$B$27</xm:f>
            <x14:dxf>
              <fill>
                <patternFill>
                  <bgColor theme="7" tint="0.79998168889431442"/>
                </patternFill>
              </fill>
            </x14:dxf>
          </x14:cfRule>
          <xm:sqref>Q43:R47 Q50:Q51 P55</xm:sqref>
        </x14:conditionalFormatting>
        <x14:conditionalFormatting xmlns:xm="http://schemas.microsoft.com/office/excel/2006/main">
          <x14:cfRule type="expression" priority="7" id="{6E262519-4A9B-4C70-9964-9C5A2EC0FBAA}">
            <xm:f>$J$4&lt;&gt;Choices!$B$29</xm:f>
            <x14:dxf>
              <fill>
                <patternFill>
                  <bgColor theme="6" tint="0.59996337778862885"/>
                </patternFill>
              </fill>
            </x14:dxf>
          </x14:cfRule>
          <xm:sqref>X23 Y24:Y26 Y31 Y33 Y36 Y38 X43:Y44 X46:Y48 X50:Y51 X53:Y54</xm:sqref>
        </x14:conditionalFormatting>
        <x14:conditionalFormatting xmlns:xm="http://schemas.microsoft.com/office/excel/2006/main">
          <x14:cfRule type="expression" priority="8" id="{DA7D435A-B75F-4243-B28C-BECEB9464450}">
            <xm:f>$J$4=Choices!$B$29</xm:f>
            <x14:dxf>
              <fill>
                <patternFill>
                  <bgColor theme="9" tint="0.59996337778862885"/>
                </patternFill>
              </fill>
            </x14:dxf>
          </x14:cfRule>
          <xm:sqref>X43:Y43 X46:Y47 X50:Y50 X53:Y53</xm:sqref>
        </x14:conditionalFormatting>
        <x14:conditionalFormatting xmlns:xm="http://schemas.microsoft.com/office/excel/2006/main">
          <x14:cfRule type="expression" priority="9" id="{5734F9AC-A30B-4C31-A189-2BD63F2E0186}">
            <xm:f>$J$4=Choices!$B$29</xm:f>
            <x14:dxf>
              <fill>
                <patternFill>
                  <bgColor theme="7" tint="0.79998168889431442"/>
                </patternFill>
              </fill>
            </x14:dxf>
          </x14:cfRule>
          <xm:sqref>X44:Y44 X48:Y48 X51:Y51 X54:Y54</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xr:uid="{CCEAE358-88F0-4DB2-AD32-437DCCDD7F17}">
          <x14:formula1>
            <xm:f>Choices!$B$26:$B$30</xm:f>
          </x14:formula1>
          <xm:sqref>J4:J5</xm:sqref>
        </x14:dataValidation>
        <x14:dataValidation type="list" showInputMessage="1" showErrorMessage="1" promptTitle="事業の統合" prompt="・事業を統合する：管路を接続するなど施設を一体化し，事業（および経営）を統合する場合です．_x000a_・事業を統合しない：管路は接続しますが，事業（および経営）は接続先と別々にする場合です．" xr:uid="{438F7699-B25D-45B3-9E32-3A8F4D3E1B31}">
          <x14:formula1>
            <xm:f>Choices!$B$40:$B$42</xm:f>
          </x14:formula1>
          <xm:sqref>P55:Q55</xm:sqref>
        </x14:dataValidation>
        <x14:dataValidation type="list" allowBlank="1" showInputMessage="1" showErrorMessage="1" prompt="共同井戸の場合，井戸から各戸までを接続する配管について選択・入力してください．" xr:uid="{8440C6B8-823F-442B-A6AE-1FE15CA1AAF2}">
          <x14:formula1>
            <xm:f>IC!$B$5:$B$13</xm:f>
          </x14:formula1>
          <xm:sqref>X44 X48 X51 X54</xm:sqref>
        </x14:dataValidation>
        <x14:dataValidation type="list" allowBlank="1" showInputMessage="1" showErrorMessage="1" promptTitle="処理方式" prompt="(2)で選択した処理方式に応じて浄水設備を選択してください．" xr:uid="{31953871-AD1A-433A-8DD8-A9CEC9A51D81}">
          <x14:formula1>
            <xm:f>IC!$B$25:$B$31</xm:f>
          </x14:formula1>
          <xm:sqref>J47</xm:sqref>
        </x14:dataValidation>
        <x14:dataValidation type="list" allowBlank="1" showInputMessage="1" showErrorMessage="1" promptTitle="取水方式" prompt="(2)で選択した水源に応じて取水設備を選択してください．" xr:uid="{420A90A3-D150-49D3-98A6-D2CB8DB3B5B3}">
          <x14:formula1>
            <xm:f>IC!$B$16:$B$23</xm:f>
          </x14:formula1>
          <xm:sqref>J46</xm:sqref>
        </x14:dataValidation>
        <x14:dataValidation type="list" allowBlank="1" showInputMessage="1" showErrorMessage="1" promptTitle="配水池容量" prompt="一般的には，必要な日配水量の半分程度の容量を確保します．_x000a_配水池の容量を増やす場合は，配水池の数量を増やしてください．" xr:uid="{8FF49E33-F136-4261-80A2-CBF726EE5FAB}">
          <x14:formula1>
            <xm:f>IC!$B$39:$B$42</xm:f>
          </x14:formula1>
          <xm:sqref>J49 Q47 J53</xm:sqref>
        </x14:dataValidation>
        <x14:dataValidation type="list" allowBlank="1" showInputMessage="1" showErrorMessage="1" prompt="自治体から地域への委託による場合は「水道利用組合等」を選択してください" xr:uid="{5824513A-3F34-4CFA-998F-2A30235C1A63}">
          <x14:formula1>
            <xm:f>Choices!$B$8:$B$10</xm:f>
          </x14:formula1>
          <xm:sqref>J27 Q27</xm:sqref>
        </x14:dataValidation>
        <x14:dataValidation type="list" allowBlank="1" showInputMessage="1" showErrorMessage="1" xr:uid="{F21554E3-F763-4C75-858B-12B7553174A5}">
          <x14:formula1>
            <xm:f>Choices!$B$2:$B$7</xm:f>
          </x14:formula1>
          <xm:sqref>J23 Q23</xm:sqref>
        </x14:dataValidation>
        <x14:dataValidation type="list" allowBlank="1" showInputMessage="1" showErrorMessage="1" promptTitle="注意！" prompt="実際の水質に応じた処理を検討してください" xr:uid="{58CFCD62-8F8F-48F4-85AD-B100D57E3EB7}">
          <x14:formula1>
            <xm:f>Choices!$B$19:$B$25</xm:f>
          </x14:formula1>
          <xm:sqref>J34:J37</xm:sqref>
        </x14:dataValidation>
        <x14:dataValidation type="list" showInputMessage="1" showErrorMessage="1" xr:uid="{89CA048A-1CA1-4ADF-BABE-6D07D5CF6773}">
          <x14:formula1>
            <xm:f>Choices!$B$36:$B$38</xm:f>
          </x14:formula1>
          <xm:sqref>Q50:Q51</xm:sqref>
        </x14:dataValidation>
        <x14:dataValidation type="list" allowBlank="1" showInputMessage="1" showErrorMessage="1" xr:uid="{8B855EFE-C4A0-4E20-AD6E-E5E280DA7698}">
          <x14:formula1>
            <xm:f>Choices!$B$19:$B$25</xm:f>
          </x14:formula1>
          <xm:sqref>Q34:Q37</xm:sqref>
        </x14:dataValidation>
        <x14:dataValidation type="list" allowBlank="1" showInputMessage="1" showErrorMessage="1" xr:uid="{929BBB96-4DBB-4FAD-8EDC-BBE74F182B95}">
          <x14:formula1>
            <xm:f>Choices!$B$11:$B$18</xm:f>
          </x14:formula1>
          <xm:sqref>J30:J33 Q30:Q33</xm:sqref>
        </x14:dataValidation>
        <x14:dataValidation type="list" allowBlank="1" showInputMessage="1" showErrorMessage="1" xr:uid="{F806E4FF-D54E-48AF-B47C-4E06283E210F}">
          <x14:formula1>
            <xm:f>IC!$B$5:$B$14</xm:f>
          </x14:formula1>
          <xm:sqref>J42:J45 Q43:Q46</xm:sqref>
        </x14:dataValidation>
        <x14:dataValidation type="list" allowBlank="1" showInputMessage="1" showErrorMessage="1" xr:uid="{B8D2A674-048B-445E-BB94-BF3971B643A0}">
          <x14:formula1>
            <xm:f>IC!$B$16:$B$23</xm:f>
          </x14:formula1>
          <xm:sqref>X53 X50 J50 X43 X46</xm:sqref>
        </x14:dataValidation>
        <x14:dataValidation type="list" allowBlank="1" showInputMessage="1" showErrorMessage="1" xr:uid="{E576020E-DEA9-4AC4-BE42-277EF4778614}">
          <x14:formula1>
            <xm:f>IC!$B$34:$B$37</xm:f>
          </x14:formula1>
          <xm:sqref>J48 Q46 J52</xm:sqref>
        </x14:dataValidation>
        <x14:dataValidation type="list" allowBlank="1" showInputMessage="1" showErrorMessage="1" xr:uid="{8EF4EE77-A15D-4D1B-8D7D-7C26BA55A87B}">
          <x14:formula1>
            <xm:f>IC!$B$25:$B$31</xm:f>
          </x14:formula1>
          <xm:sqref>X47 J51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3803F-D1E5-4879-AC68-471A105840C5}">
  <sheetPr codeName="Sheet12">
    <tabColor theme="8" tint="0.79998168889431442"/>
  </sheetPr>
  <dimension ref="A1:AK133"/>
  <sheetViews>
    <sheetView topLeftCell="A6" zoomScale="85" zoomScaleNormal="85" zoomScaleSheetLayoutView="40" workbookViewId="0">
      <selection activeCell="E86" sqref="E86"/>
    </sheetView>
  </sheetViews>
  <sheetFormatPr defaultColWidth="9" defaultRowHeight="18.75"/>
  <cols>
    <col min="1" max="1" width="2.625" customWidth="1"/>
    <col min="2" max="3" width="3.875" customWidth="1"/>
    <col min="4" max="4" width="18.75" customWidth="1"/>
    <col min="5" max="5" width="18.625" customWidth="1"/>
    <col min="6" max="6" width="7.5" customWidth="1"/>
    <col min="7" max="8" width="3.125" customWidth="1"/>
    <col min="9" max="9" width="18.75" customWidth="1"/>
    <col min="10" max="10" width="25" customWidth="1"/>
    <col min="11" max="11" width="7.5" customWidth="1"/>
    <col min="12" max="12" width="3.75" customWidth="1"/>
    <col min="13" max="13" width="3.875" customWidth="1"/>
    <col min="14" max="14" width="3.625" customWidth="1"/>
    <col min="15" max="15" width="3.75" customWidth="1"/>
    <col min="16" max="16" width="18.625" customWidth="1"/>
    <col min="17" max="17" width="25" customWidth="1"/>
    <col min="18" max="18" width="7.625" customWidth="1"/>
    <col min="19" max="19" width="7.5" customWidth="1"/>
    <col min="20" max="22" width="3.875" customWidth="1"/>
    <col min="23" max="24" width="18.75" customWidth="1"/>
    <col min="25" max="26" width="7.5" customWidth="1"/>
    <col min="27" max="27" width="2.375" customWidth="1"/>
    <col min="28" max="28" width="15.125" hidden="1" customWidth="1"/>
    <col min="29" max="29" width="35" hidden="1" customWidth="1"/>
    <col min="30" max="32" width="13.875" hidden="1" customWidth="1"/>
    <col min="33" max="34" width="13.75" hidden="1" customWidth="1"/>
    <col min="35" max="35" width="8.75" hidden="1" customWidth="1"/>
    <col min="36" max="36" width="6.125" hidden="1" customWidth="1"/>
    <col min="37" max="37" width="9" hidden="1" customWidth="1"/>
  </cols>
  <sheetData>
    <row r="1" spans="1:37" ht="18.75" customHeight="1">
      <c r="A1" s="55"/>
      <c r="B1" s="74" t="s">
        <v>295</v>
      </c>
      <c r="C1" s="55"/>
      <c r="D1" s="55"/>
      <c r="E1" s="55"/>
      <c r="F1" s="55"/>
      <c r="G1" s="55"/>
      <c r="H1" s="55"/>
      <c r="I1" s="55"/>
      <c r="J1" s="55"/>
      <c r="K1" s="55"/>
      <c r="L1" s="55"/>
      <c r="M1" s="55"/>
      <c r="N1" s="55"/>
      <c r="O1" s="55"/>
      <c r="P1" s="55"/>
      <c r="Q1" s="55"/>
      <c r="R1" s="55"/>
      <c r="S1" s="55"/>
      <c r="T1" s="55"/>
      <c r="U1" s="55"/>
      <c r="V1" s="55"/>
      <c r="W1" s="55"/>
      <c r="X1" s="57" t="str">
        <f>"Ver."&amp;VLOOKUP("〇",Version!$A$4:$B$26,2,TRUE)</f>
        <v>Ver.1.8</v>
      </c>
      <c r="Y1" s="55"/>
      <c r="Z1" s="55"/>
      <c r="AA1" s="58"/>
      <c r="AB1" s="66" t="s">
        <v>358</v>
      </c>
      <c r="AC1" s="39"/>
      <c r="AD1" s="39"/>
      <c r="AE1" s="39"/>
      <c r="AF1" s="39"/>
      <c r="AG1" s="39"/>
      <c r="AH1" s="39"/>
      <c r="AI1" s="41"/>
      <c r="AJ1" s="39"/>
      <c r="AK1" s="39"/>
    </row>
    <row r="2" spans="1:37" s="59" customFormat="1" ht="18.75" customHeight="1">
      <c r="A2" s="176"/>
      <c r="B2" s="72" t="s">
        <v>156</v>
      </c>
      <c r="C2" s="72"/>
      <c r="D2" s="75"/>
      <c r="E2" s="75"/>
      <c r="F2" s="75"/>
      <c r="G2" s="72" t="s">
        <v>66</v>
      </c>
      <c r="H2" s="75"/>
      <c r="I2" s="75"/>
      <c r="J2" s="75"/>
      <c r="K2" s="75"/>
      <c r="L2" s="75"/>
      <c r="M2" s="75"/>
      <c r="N2" s="75"/>
      <c r="O2" s="72" t="s">
        <v>170</v>
      </c>
      <c r="P2" s="75"/>
      <c r="Q2" s="75"/>
      <c r="R2" s="75"/>
      <c r="S2" s="75"/>
      <c r="T2" s="75"/>
      <c r="U2" s="75"/>
      <c r="V2" s="75"/>
      <c r="W2" s="75"/>
      <c r="X2" s="75"/>
      <c r="Y2" s="75"/>
      <c r="Z2" s="75"/>
      <c r="AA2" s="75"/>
      <c r="AB2" s="67"/>
      <c r="AC2" s="64"/>
      <c r="AD2" s="64"/>
      <c r="AE2" s="64"/>
      <c r="AF2" s="64"/>
      <c r="AG2" s="64"/>
      <c r="AH2" s="64"/>
      <c r="AI2" s="65"/>
      <c r="AJ2" s="64"/>
      <c r="AK2" s="64"/>
    </row>
    <row r="3" spans="1:37" s="59" customFormat="1" ht="18.75" customHeight="1">
      <c r="A3" s="176"/>
      <c r="B3" s="76" t="s">
        <v>430</v>
      </c>
      <c r="C3" s="77"/>
      <c r="D3" s="77"/>
      <c r="E3" s="77"/>
      <c r="F3" s="75"/>
      <c r="G3" s="76" t="s">
        <v>345</v>
      </c>
      <c r="H3" s="77"/>
      <c r="I3" s="77"/>
      <c r="J3" s="77"/>
      <c r="K3" s="75"/>
      <c r="L3" s="75"/>
      <c r="M3" s="75"/>
      <c r="N3" s="75"/>
      <c r="O3" s="76" t="s">
        <v>376</v>
      </c>
      <c r="P3" s="77"/>
      <c r="Q3" s="77"/>
      <c r="R3" s="75"/>
      <c r="S3" s="75"/>
      <c r="T3" s="75"/>
      <c r="U3" s="72"/>
      <c r="V3" s="75"/>
      <c r="W3" s="75"/>
      <c r="X3" s="75"/>
      <c r="Y3" s="75"/>
      <c r="Z3" s="75"/>
      <c r="AA3" s="75"/>
      <c r="AB3" s="67"/>
      <c r="AC3" s="64"/>
      <c r="AD3" s="64"/>
      <c r="AE3" s="64"/>
      <c r="AF3" s="64"/>
      <c r="AG3" s="64"/>
      <c r="AH3" s="64"/>
      <c r="AI3" s="65"/>
      <c r="AJ3" s="64"/>
      <c r="AK3" s="64"/>
    </row>
    <row r="4" spans="1:37" ht="18.75" customHeight="1">
      <c r="A4" s="55"/>
      <c r="B4" s="55"/>
      <c r="C4" s="55"/>
      <c r="D4" s="55"/>
      <c r="E4" s="55"/>
      <c r="F4" s="55"/>
      <c r="G4" s="55"/>
      <c r="H4" s="55"/>
      <c r="I4" s="199" t="s">
        <v>74</v>
      </c>
      <c r="J4" s="200" t="s">
        <v>581</v>
      </c>
      <c r="K4" s="78"/>
      <c r="L4" s="78"/>
      <c r="M4" s="78"/>
      <c r="N4" s="78"/>
      <c r="O4" s="55"/>
      <c r="P4" s="84"/>
      <c r="Q4" s="55"/>
      <c r="R4" s="55"/>
      <c r="S4" s="55"/>
      <c r="T4" s="55"/>
      <c r="U4" s="55"/>
      <c r="V4" s="55"/>
      <c r="W4" s="55"/>
      <c r="X4" s="55"/>
      <c r="Y4" s="55"/>
      <c r="Z4" s="55"/>
      <c r="AA4" s="55"/>
      <c r="AB4" s="66"/>
      <c r="AC4" s="39"/>
      <c r="AD4" s="39"/>
      <c r="AE4" s="39"/>
      <c r="AF4" s="39"/>
      <c r="AG4" s="39"/>
      <c r="AH4" s="39"/>
      <c r="AI4" s="41"/>
      <c r="AJ4" s="39"/>
      <c r="AK4" s="39"/>
    </row>
    <row r="5" spans="1:37" ht="18.75" customHeight="1">
      <c r="A5" s="55"/>
      <c r="B5" s="55"/>
      <c r="C5" s="58" t="s">
        <v>425</v>
      </c>
      <c r="D5" s="55"/>
      <c r="E5" s="55"/>
      <c r="F5" s="55"/>
      <c r="G5" s="55"/>
      <c r="H5" s="57"/>
      <c r="I5" s="199"/>
      <c r="J5" s="201"/>
      <c r="K5" s="55"/>
      <c r="L5" s="55"/>
      <c r="M5" s="55"/>
      <c r="N5" s="55"/>
      <c r="O5" s="55"/>
      <c r="P5" s="84" t="s">
        <v>382</v>
      </c>
      <c r="Q5" s="87" t="str">
        <f>IF($J$4=Choices!$B$26,$AD$61,IF($J$4=Choices!$B$27,$AE$61,IF($J$4=Choices!$B$28,$AF$61,IF($J$4=Choices!$B$29,$AG$61,""))))</f>
        <v>単独</v>
      </c>
      <c r="R5" s="55"/>
      <c r="S5" s="55"/>
      <c r="T5" s="55"/>
      <c r="U5" s="55"/>
      <c r="V5" s="55"/>
      <c r="W5" s="72" t="s">
        <v>375</v>
      </c>
      <c r="X5" s="56"/>
      <c r="Y5" s="55"/>
      <c r="Z5" s="55"/>
      <c r="AA5" s="55"/>
      <c r="AB5" s="66"/>
      <c r="AC5" s="39"/>
      <c r="AD5" s="41"/>
      <c r="AE5" s="41"/>
      <c r="AF5" s="41"/>
      <c r="AG5" s="39"/>
      <c r="AH5" s="39"/>
      <c r="AI5" s="41"/>
      <c r="AJ5" s="39"/>
      <c r="AK5" s="39"/>
    </row>
    <row r="6" spans="1:37" ht="18.75" customHeight="1">
      <c r="A6" s="55"/>
      <c r="B6" s="55"/>
      <c r="C6" s="155" t="b">
        <v>0</v>
      </c>
      <c r="D6" s="118" t="s">
        <v>423</v>
      </c>
      <c r="E6" s="118"/>
      <c r="F6" s="55"/>
      <c r="G6" s="55"/>
      <c r="H6" s="57"/>
      <c r="I6" s="55"/>
      <c r="J6" s="55"/>
      <c r="K6" s="55"/>
      <c r="L6" s="55"/>
      <c r="M6" s="55"/>
      <c r="N6" s="55"/>
      <c r="O6" s="55"/>
      <c r="P6" s="84" t="s">
        <v>175</v>
      </c>
      <c r="Q6" s="87" t="str">
        <f>IF(OR($AD$62=1,$AE$62=1,$AF$62=1),$AC$62,IF(OR($AD$63=1,$AE$63=1,$AF$63=1),$AC$63,IF(OR($AD$64=1,$AE$64=1,$AF$64=1),$AC$64,IF(OR($AD$65=1,$AE$65=1,$AF$65=1),$AC$65,IF(OR($AD$66=1,$AE$66=1,AF66=1),$AC$66,IF($AG$67=1,$AC$67,""))))))</f>
        <v>その他（地域自律管理型）</v>
      </c>
      <c r="R6" s="55"/>
      <c r="S6" s="55"/>
      <c r="T6" s="55"/>
      <c r="U6" s="55"/>
      <c r="V6" s="55"/>
      <c r="W6" s="84" t="s">
        <v>115</v>
      </c>
      <c r="X6" s="92">
        <f>IF($J$4=Choices!$B$26,($J$64+$J$68)/1000,IF(OR($J$4=Choices!$B$27,$J$4=Choices!$B$28),0,IF($J$4=Choices!$B$29,($X$60+$X$63+$X$67+$X$70)/1000,"")))</f>
        <v>2650</v>
      </c>
      <c r="Y6" s="55"/>
      <c r="Z6" s="55"/>
      <c r="AA6" s="55"/>
      <c r="AB6" s="66"/>
      <c r="AC6" s="39"/>
      <c r="AD6" s="39"/>
      <c r="AE6" s="39"/>
      <c r="AF6" s="39"/>
      <c r="AG6" s="39"/>
      <c r="AH6" s="39"/>
      <c r="AI6" s="41"/>
      <c r="AJ6" s="39"/>
      <c r="AK6" s="39"/>
    </row>
    <row r="7" spans="1:37" ht="18.75" customHeight="1">
      <c r="A7" s="55"/>
      <c r="B7" s="55"/>
      <c r="C7" s="155" t="b">
        <v>1</v>
      </c>
      <c r="D7" s="118" t="s">
        <v>424</v>
      </c>
      <c r="E7" s="118"/>
      <c r="F7" s="55"/>
      <c r="G7" s="55"/>
      <c r="H7" s="57"/>
      <c r="I7" s="55"/>
      <c r="J7" s="55"/>
      <c r="K7" s="55"/>
      <c r="L7" s="55"/>
      <c r="M7" s="55"/>
      <c r="N7" s="55"/>
      <c r="O7" s="55"/>
      <c r="P7" s="84" t="s">
        <v>418</v>
      </c>
      <c r="Q7" s="88">
        <f>IF($Q$6&lt;&gt;"",IF($Q$5=$AD$61,$J$73,IF($Q$5=$AE$61,$Q$73,IF($Q$5=$AF$61,0,IF($Q$5=$AG$61,$X$73,0)))),NA())</f>
        <v>44880</v>
      </c>
      <c r="R7" s="72" t="s">
        <v>416</v>
      </c>
      <c r="S7" s="55"/>
      <c r="T7" s="55"/>
      <c r="U7" s="55"/>
      <c r="V7" s="55"/>
      <c r="W7" s="84" t="s">
        <v>107</v>
      </c>
      <c r="X7" s="92">
        <f>IF($J$4=Choices!$B$26,($J$65+$J$69)/1000,IF(OR($J$4=Choices!$B$27,$J$4=Choices!$B$28),0,IF($J$4=Choices!$B$29,$X$64/1000,"")))</f>
        <v>1630</v>
      </c>
      <c r="Y7" s="55"/>
      <c r="Z7" s="55"/>
      <c r="AA7" s="55"/>
      <c r="AB7" s="66"/>
      <c r="AC7" s="39"/>
      <c r="AD7" s="39"/>
      <c r="AE7" s="39"/>
      <c r="AF7" s="39"/>
      <c r="AG7" s="39"/>
      <c r="AH7" s="39"/>
      <c r="AI7" s="41"/>
      <c r="AJ7" s="39"/>
      <c r="AK7" s="39"/>
    </row>
    <row r="8" spans="1:37" ht="18.75" customHeight="1">
      <c r="A8" s="55"/>
      <c r="B8" s="55"/>
      <c r="C8" s="55"/>
      <c r="D8" s="55"/>
      <c r="E8" s="55"/>
      <c r="F8" s="55"/>
      <c r="G8" s="55"/>
      <c r="H8" s="57"/>
      <c r="I8" s="55"/>
      <c r="J8" s="55"/>
      <c r="K8" s="55"/>
      <c r="L8" s="55"/>
      <c r="M8" s="55"/>
      <c r="N8" s="55"/>
      <c r="O8" s="55"/>
      <c r="P8" s="84" t="s">
        <v>412</v>
      </c>
      <c r="Q8" s="89">
        <f>IF($F$67=2,NA(),INDEX($AD$70:$AG$74,MATCH($Q$6,$AC$70:$AC$74,0),MATCH($Q$5,$AD$69:$AG$69,0)))</f>
        <v>1497.4581203876673</v>
      </c>
      <c r="R8" s="72" t="s">
        <v>417</v>
      </c>
      <c r="S8" s="55"/>
      <c r="T8" s="55"/>
      <c r="U8" s="55"/>
      <c r="V8" s="55"/>
      <c r="W8" s="84" t="s">
        <v>374</v>
      </c>
      <c r="X8" s="92">
        <f>IF($J$4=Choices!$B$26,($J$66+$J$67+$J$70+$J$71)/1000,IF(OR($J$4=Choices!$B$27,$J$4=Choices!$B$28),($Q$64+$Q$65)/1000,IF($J$4=Choices!$B$29,0,"")))</f>
        <v>10600</v>
      </c>
      <c r="Y8" s="55"/>
      <c r="Z8" s="55"/>
      <c r="AA8" s="55"/>
      <c r="AB8" s="66"/>
      <c r="AC8" s="39"/>
      <c r="AD8" s="39"/>
      <c r="AE8" s="39"/>
      <c r="AF8" s="39"/>
      <c r="AG8" s="39"/>
      <c r="AH8" s="39"/>
      <c r="AI8" s="41"/>
      <c r="AJ8" s="39"/>
      <c r="AK8" s="39"/>
    </row>
    <row r="9" spans="1:37" ht="18.75" customHeight="1">
      <c r="A9" s="55"/>
      <c r="B9" s="75"/>
      <c r="C9" s="55"/>
      <c r="D9" s="55"/>
      <c r="E9" s="55"/>
      <c r="F9" s="55"/>
      <c r="G9" s="55"/>
      <c r="H9" s="55"/>
      <c r="I9" s="55"/>
      <c r="J9" s="55"/>
      <c r="K9" s="55"/>
      <c r="L9" s="55"/>
      <c r="M9" s="55"/>
      <c r="N9" s="55"/>
      <c r="O9" s="55"/>
      <c r="P9" s="84" t="s">
        <v>411</v>
      </c>
      <c r="Q9" s="89">
        <f>IF(OR($AE$62=1,$AE$63=1,$AE$64=1,$AE$65=1,$AF$62=1,$AF$63=1,$AF$64=1,$AF$65=1),$Q$8*$E$25/($E$25+$Q$25),$Q$8)</f>
        <v>1497.4581203876673</v>
      </c>
      <c r="R9" s="72" t="s">
        <v>417</v>
      </c>
      <c r="S9" s="55"/>
      <c r="T9" s="55"/>
      <c r="U9" s="55"/>
      <c r="V9" s="55"/>
      <c r="W9" s="84" t="s">
        <v>83</v>
      </c>
      <c r="X9" s="92">
        <f>IF($J$4=Choices!$B$26,SUM($J$60:$J$63)/1000,IF(OR($J$4=Choices!$B$27,$J$4=Choices!$B$28),SUM($Q$61:$Q$63)/1000,IF($J$4=Choices!$B$29,($X$61+$X$65+$X$68+$X$71)/1000,"")))</f>
        <v>30000</v>
      </c>
      <c r="Y9" s="55"/>
      <c r="Z9" s="55"/>
      <c r="AA9" s="55"/>
      <c r="AB9" s="66"/>
      <c r="AC9" s="39"/>
      <c r="AD9" s="39"/>
      <c r="AE9" s="39"/>
      <c r="AF9" s="39"/>
      <c r="AG9" s="39"/>
      <c r="AH9" s="39"/>
      <c r="AI9" s="39"/>
      <c r="AJ9" s="39"/>
      <c r="AK9" s="39"/>
    </row>
    <row r="10" spans="1:37" ht="18.75" customHeight="1">
      <c r="A10" s="55"/>
      <c r="B10" s="55"/>
      <c r="C10" s="72" t="s">
        <v>429</v>
      </c>
      <c r="D10" s="55"/>
      <c r="E10" s="55"/>
      <c r="F10" s="55"/>
      <c r="G10" s="55"/>
      <c r="H10" s="55"/>
      <c r="I10" s="55"/>
      <c r="J10" s="55"/>
      <c r="K10" s="55"/>
      <c r="L10" s="55"/>
      <c r="M10" s="55"/>
      <c r="N10" s="55"/>
      <c r="O10" s="55"/>
      <c r="P10" s="60"/>
      <c r="Q10" s="60"/>
      <c r="R10" s="55"/>
      <c r="S10" s="55"/>
      <c r="T10" s="55"/>
      <c r="U10" s="55"/>
      <c r="V10" s="55"/>
      <c r="W10" s="72"/>
      <c r="X10" s="83"/>
      <c r="Y10" s="55"/>
      <c r="Z10" s="55"/>
      <c r="AA10" s="55"/>
      <c r="AB10" s="66"/>
      <c r="AC10" s="39"/>
      <c r="AD10" s="39"/>
      <c r="AE10" s="39"/>
      <c r="AF10" s="39"/>
      <c r="AG10" s="39"/>
      <c r="AH10" s="39"/>
      <c r="AI10" s="39"/>
      <c r="AJ10" s="39"/>
      <c r="AK10" s="39"/>
    </row>
    <row r="11" spans="1:37" ht="18.75" customHeight="1">
      <c r="A11" s="55"/>
      <c r="B11" s="55"/>
      <c r="C11" s="74" t="s">
        <v>428</v>
      </c>
      <c r="D11" s="55"/>
      <c r="E11" s="55"/>
      <c r="F11" s="55"/>
      <c r="G11" s="55"/>
      <c r="H11" s="55"/>
      <c r="I11" s="55"/>
      <c r="J11" s="55"/>
      <c r="K11" s="55"/>
      <c r="L11" s="55"/>
      <c r="M11" s="55"/>
      <c r="N11" s="55"/>
      <c r="O11" s="55"/>
      <c r="P11" s="84" t="s">
        <v>252</v>
      </c>
      <c r="Q11" s="202" t="str">
        <f>_xlfn.TEXTJOIN(CHAR(10),TRUE,AD21:AD40)</f>
        <v>・市町村と地域の協力体制や地域高校等との連携については，実践ガイドを参照してください．
・年間コストには，役員報酬が含まれていません．なお，水質検査費用は含まれているので，市町村から助成が受けられる場合はその分を差し引いてください．
・維持管理を地域で実施する場合は，市町村の助成制度を使える可能性があるので確認してください．
・維持管理を委託に変更する場合は，契約形態について実践ガイドの事例等を参考にしてください．
・表流水を水源にする場合は，当該河川の水利権を確認してください．</v>
      </c>
      <c r="R11" s="203"/>
      <c r="S11" s="203"/>
      <c r="T11" s="203"/>
      <c r="U11" s="203"/>
      <c r="V11" s="203"/>
      <c r="W11" s="203"/>
      <c r="X11" s="203"/>
      <c r="Y11" s="204"/>
      <c r="Z11" s="55"/>
      <c r="AA11" s="55"/>
      <c r="AB11" s="66"/>
      <c r="AC11" s="42" t="s">
        <v>593</v>
      </c>
      <c r="AD11" s="39"/>
      <c r="AE11" s="39"/>
      <c r="AF11" s="39"/>
      <c r="AG11" s="39"/>
      <c r="AH11" s="39"/>
      <c r="AI11" s="39"/>
      <c r="AJ11" s="39"/>
      <c r="AK11" s="39"/>
    </row>
    <row r="12" spans="1:37" ht="18.75" customHeight="1">
      <c r="A12" s="55"/>
      <c r="B12" s="55"/>
      <c r="C12" s="55"/>
      <c r="D12" s="122" t="s">
        <v>426</v>
      </c>
      <c r="E12" s="79"/>
      <c r="F12" s="55"/>
      <c r="G12" s="55"/>
      <c r="H12" s="55"/>
      <c r="I12" s="55"/>
      <c r="J12" s="55"/>
      <c r="K12" s="55"/>
      <c r="L12" s="55"/>
      <c r="M12" s="55"/>
      <c r="N12" s="55"/>
      <c r="O12" s="55"/>
      <c r="P12" s="55"/>
      <c r="Q12" s="205"/>
      <c r="R12" s="206"/>
      <c r="S12" s="206"/>
      <c r="T12" s="206"/>
      <c r="U12" s="206"/>
      <c r="V12" s="206"/>
      <c r="W12" s="206"/>
      <c r="X12" s="206"/>
      <c r="Y12" s="207"/>
      <c r="Z12" s="55"/>
      <c r="AA12" s="55"/>
      <c r="AB12" s="66"/>
      <c r="AC12" s="44" t="s">
        <v>594</v>
      </c>
      <c r="AD12" s="171" t="str">
        <f>$E$104</f>
        <v>・現状の年間コストは推計値です．実績値がある場合はそちらを参考にしてください．</v>
      </c>
      <c r="AE12" s="39"/>
      <c r="AF12" s="39"/>
      <c r="AG12" s="39"/>
      <c r="AH12" s="39"/>
      <c r="AI12" s="39"/>
      <c r="AJ12" s="39"/>
      <c r="AK12" s="39"/>
    </row>
    <row r="13" spans="1:37" s="59" customFormat="1" ht="18.75" customHeight="1">
      <c r="A13" s="176"/>
      <c r="B13" s="55"/>
      <c r="C13" s="55"/>
      <c r="D13" s="211" t="s">
        <v>427</v>
      </c>
      <c r="E13" s="80" t="s">
        <v>249</v>
      </c>
      <c r="F13" s="55"/>
      <c r="G13" s="55"/>
      <c r="H13" s="55"/>
      <c r="I13" s="55"/>
      <c r="J13" s="55"/>
      <c r="K13" s="55"/>
      <c r="L13" s="55"/>
      <c r="M13" s="55"/>
      <c r="N13" s="55"/>
      <c r="O13" s="55"/>
      <c r="P13" s="55"/>
      <c r="Q13" s="205"/>
      <c r="R13" s="206"/>
      <c r="S13" s="206"/>
      <c r="T13" s="206"/>
      <c r="U13" s="206"/>
      <c r="V13" s="206"/>
      <c r="W13" s="206"/>
      <c r="X13" s="206"/>
      <c r="Y13" s="207"/>
      <c r="Z13" s="55"/>
      <c r="AA13" s="55"/>
      <c r="AB13" s="66"/>
      <c r="AC13" s="44" t="s">
        <v>591</v>
      </c>
      <c r="AD13" s="171" t="str">
        <f>IF($F$76=1,$E$105,"")</f>
        <v/>
      </c>
      <c r="AE13" s="39"/>
      <c r="AF13" s="64"/>
      <c r="AG13" s="64"/>
      <c r="AH13" s="64"/>
      <c r="AI13" s="65"/>
      <c r="AJ13" s="64"/>
      <c r="AK13" s="64"/>
    </row>
    <row r="14" spans="1:37" s="59" customFormat="1" ht="18.75" customHeight="1">
      <c r="A14" s="176"/>
      <c r="B14" s="55"/>
      <c r="C14" s="55"/>
      <c r="D14" s="212"/>
      <c r="E14" s="81" t="s">
        <v>250</v>
      </c>
      <c r="F14" s="55"/>
      <c r="G14" s="55"/>
      <c r="H14" s="55"/>
      <c r="I14" s="55"/>
      <c r="J14" s="55"/>
      <c r="K14" s="55"/>
      <c r="L14" s="55"/>
      <c r="M14" s="55"/>
      <c r="N14" s="55"/>
      <c r="O14" s="55"/>
      <c r="P14" s="55"/>
      <c r="Q14" s="205"/>
      <c r="R14" s="206"/>
      <c r="S14" s="206"/>
      <c r="T14" s="206"/>
      <c r="U14" s="206"/>
      <c r="V14" s="206"/>
      <c r="W14" s="206"/>
      <c r="X14" s="206"/>
      <c r="Y14" s="207"/>
      <c r="Z14" s="55"/>
      <c r="AA14" s="55"/>
      <c r="AB14" s="66"/>
      <c r="AC14" s="39"/>
      <c r="AD14" s="39"/>
      <c r="AE14" s="39"/>
      <c r="AF14" s="64"/>
      <c r="AG14" s="64"/>
      <c r="AH14" s="64"/>
      <c r="AI14" s="65"/>
      <c r="AJ14" s="64"/>
      <c r="AK14" s="64"/>
    </row>
    <row r="15" spans="1:37" ht="18.75" customHeight="1">
      <c r="A15" s="55"/>
      <c r="B15" s="55"/>
      <c r="C15" s="55"/>
      <c r="D15" s="213"/>
      <c r="E15" s="82" t="s">
        <v>248</v>
      </c>
      <c r="F15" s="55"/>
      <c r="G15" s="55"/>
      <c r="H15" s="55"/>
      <c r="I15" s="55"/>
      <c r="J15" s="55"/>
      <c r="K15" s="55"/>
      <c r="L15" s="55"/>
      <c r="M15" s="55"/>
      <c r="N15" s="55"/>
      <c r="O15" s="55"/>
      <c r="P15" s="55"/>
      <c r="Q15" s="205"/>
      <c r="R15" s="206"/>
      <c r="S15" s="206"/>
      <c r="T15" s="206"/>
      <c r="U15" s="206"/>
      <c r="V15" s="206"/>
      <c r="W15" s="206"/>
      <c r="X15" s="206"/>
      <c r="Y15" s="207"/>
      <c r="Z15" s="55"/>
      <c r="AA15" s="55"/>
      <c r="AB15" s="66"/>
      <c r="AC15" s="39"/>
      <c r="AD15" s="39"/>
      <c r="AE15" s="39"/>
      <c r="AF15" s="39"/>
      <c r="AG15" s="39"/>
      <c r="AH15" s="39"/>
      <c r="AI15" s="41"/>
      <c r="AJ15" s="39"/>
      <c r="AK15" s="68"/>
    </row>
    <row r="16" spans="1:37" ht="18.75" customHeight="1">
      <c r="A16" s="55"/>
      <c r="B16" s="55"/>
      <c r="C16" s="55"/>
      <c r="D16" s="86"/>
      <c r="E16" s="72"/>
      <c r="F16" s="55"/>
      <c r="G16" s="55"/>
      <c r="H16" s="55"/>
      <c r="I16" s="55"/>
      <c r="J16" s="55"/>
      <c r="K16" s="55"/>
      <c r="L16" s="55"/>
      <c r="M16" s="55"/>
      <c r="N16" s="55"/>
      <c r="O16" s="55"/>
      <c r="P16" s="55"/>
      <c r="Q16" s="205"/>
      <c r="R16" s="206"/>
      <c r="S16" s="206"/>
      <c r="T16" s="206"/>
      <c r="U16" s="206"/>
      <c r="V16" s="206"/>
      <c r="W16" s="206"/>
      <c r="X16" s="206"/>
      <c r="Y16" s="207"/>
      <c r="Z16" s="55"/>
      <c r="AA16" s="55"/>
      <c r="AB16" s="66"/>
      <c r="AC16" s="39"/>
      <c r="AD16" s="39"/>
      <c r="AE16" s="39"/>
      <c r="AF16" s="39"/>
      <c r="AG16" s="39"/>
      <c r="AH16" s="39"/>
      <c r="AI16" s="41"/>
      <c r="AJ16" s="39"/>
      <c r="AK16" s="68"/>
    </row>
    <row r="17" spans="1:37" ht="18.75" customHeight="1">
      <c r="A17" s="55"/>
      <c r="B17" s="55"/>
      <c r="C17" s="55"/>
      <c r="D17" s="86"/>
      <c r="E17" s="72"/>
      <c r="F17" s="55"/>
      <c r="G17" s="55"/>
      <c r="H17" s="55"/>
      <c r="I17" s="55"/>
      <c r="J17" s="55"/>
      <c r="K17" s="55"/>
      <c r="L17" s="55"/>
      <c r="M17" s="55"/>
      <c r="N17" s="55"/>
      <c r="O17" s="55"/>
      <c r="P17" s="55"/>
      <c r="Q17" s="208"/>
      <c r="R17" s="209"/>
      <c r="S17" s="209"/>
      <c r="T17" s="209"/>
      <c r="U17" s="209"/>
      <c r="V17" s="209"/>
      <c r="W17" s="209"/>
      <c r="X17" s="209"/>
      <c r="Y17" s="210"/>
      <c r="Z17" s="55"/>
      <c r="AA17" s="55"/>
      <c r="AB17" s="66"/>
      <c r="AC17" s="39"/>
      <c r="AD17" s="39"/>
      <c r="AE17" s="39"/>
      <c r="AF17" s="39"/>
      <c r="AG17" s="39"/>
      <c r="AH17" s="39"/>
      <c r="AI17" s="39"/>
      <c r="AJ17" s="39"/>
      <c r="AK17" s="68"/>
    </row>
    <row r="18" spans="1:37" ht="18.75" customHeight="1">
      <c r="A18" s="55"/>
      <c r="B18" s="55"/>
      <c r="C18" s="55"/>
      <c r="D18" s="55"/>
      <c r="E18" s="55"/>
      <c r="F18" s="55"/>
      <c r="G18" s="55"/>
      <c r="H18" s="55"/>
      <c r="I18" s="55"/>
      <c r="J18" s="55"/>
      <c r="K18" s="55"/>
      <c r="L18" s="55"/>
      <c r="M18" s="55"/>
      <c r="N18" s="55"/>
      <c r="O18" s="55"/>
      <c r="P18" s="55"/>
      <c r="Q18" s="55"/>
      <c r="R18" s="55"/>
      <c r="S18" s="55"/>
      <c r="T18" s="55"/>
      <c r="U18" s="55"/>
      <c r="V18" s="55"/>
      <c r="W18" s="72"/>
      <c r="X18" s="83"/>
      <c r="Y18" s="55"/>
      <c r="Z18" s="55"/>
      <c r="AA18" s="55"/>
      <c r="AB18" s="66"/>
      <c r="AC18" s="39"/>
      <c r="AD18" s="39"/>
      <c r="AE18" s="39"/>
      <c r="AF18" s="39"/>
      <c r="AG18" s="39"/>
      <c r="AH18" s="39"/>
      <c r="AI18" s="41"/>
      <c r="AJ18" s="39"/>
      <c r="AK18" s="68"/>
    </row>
    <row r="19" spans="1:37" ht="18.75" customHeight="1">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75"/>
      <c r="AB19" s="67"/>
      <c r="AC19" s="64"/>
      <c r="AD19" s="64"/>
      <c r="AE19" s="64"/>
      <c r="AF19" s="39"/>
      <c r="AG19" s="39"/>
      <c r="AH19" s="39"/>
      <c r="AI19" s="41"/>
      <c r="AJ19" s="39"/>
      <c r="AK19" s="68"/>
    </row>
    <row r="20" spans="1:37" ht="18.75" customHeight="1">
      <c r="A20" s="55"/>
      <c r="B20" s="75"/>
      <c r="C20" s="75"/>
      <c r="D20" s="75"/>
      <c r="E20" s="75"/>
      <c r="F20" s="75"/>
      <c r="G20" s="75"/>
      <c r="H20" s="72" t="s">
        <v>157</v>
      </c>
      <c r="I20" s="75"/>
      <c r="J20" s="75"/>
      <c r="K20" s="75"/>
      <c r="L20" s="75"/>
      <c r="M20" s="75"/>
      <c r="N20" s="75"/>
      <c r="O20" s="72" t="s">
        <v>583</v>
      </c>
      <c r="P20" s="75"/>
      <c r="Q20" s="75"/>
      <c r="R20" s="75"/>
      <c r="S20" s="75"/>
      <c r="T20" s="75"/>
      <c r="U20" s="75"/>
      <c r="V20" s="72" t="s">
        <v>312</v>
      </c>
      <c r="W20" s="75"/>
      <c r="X20" s="75"/>
      <c r="Y20" s="75"/>
      <c r="Z20" s="75"/>
      <c r="AA20" s="75"/>
      <c r="AB20" s="67"/>
      <c r="AC20" s="169" t="s">
        <v>592</v>
      </c>
      <c r="AD20" s="170"/>
      <c r="AE20" s="70"/>
      <c r="AF20" s="39"/>
      <c r="AG20" s="39"/>
      <c r="AH20" s="39"/>
      <c r="AI20" s="41"/>
      <c r="AJ20" s="39"/>
      <c r="AK20" s="68"/>
    </row>
    <row r="21" spans="1:37" ht="18.75" customHeight="1">
      <c r="A21" s="55"/>
      <c r="B21" s="76" t="s">
        <v>344</v>
      </c>
      <c r="C21" s="77"/>
      <c r="D21" s="77"/>
      <c r="E21" s="77"/>
      <c r="F21" s="75"/>
      <c r="G21" s="76" t="s">
        <v>346</v>
      </c>
      <c r="H21" s="77"/>
      <c r="I21" s="77"/>
      <c r="J21" s="77"/>
      <c r="K21" s="75"/>
      <c r="L21" s="75"/>
      <c r="M21" s="75"/>
      <c r="N21" s="178" t="s">
        <v>646</v>
      </c>
      <c r="O21" s="77"/>
      <c r="P21" s="77"/>
      <c r="Q21" s="77"/>
      <c r="R21" s="75"/>
      <c r="S21" s="75"/>
      <c r="T21" s="75"/>
      <c r="U21" s="76" t="s">
        <v>347</v>
      </c>
      <c r="V21" s="77"/>
      <c r="W21" s="77"/>
      <c r="X21" s="77"/>
      <c r="Y21" s="75"/>
      <c r="Z21" s="75"/>
      <c r="AA21" s="55"/>
      <c r="AB21" s="69"/>
      <c r="AC21" s="167" t="s">
        <v>268</v>
      </c>
      <c r="AD21" s="168" t="str">
        <f>IF($F$65=1,$E$79,"")</f>
        <v>・市町村と地域の協力体制や地域高校等との連携については，実践ガイドを参照してください．</v>
      </c>
      <c r="AE21" s="39"/>
      <c r="AF21" s="39"/>
      <c r="AG21" s="39"/>
      <c r="AH21" s="39"/>
      <c r="AI21" s="41"/>
      <c r="AJ21" s="39"/>
      <c r="AK21" s="68"/>
    </row>
    <row r="22" spans="1:37" ht="18.75" customHeight="1">
      <c r="A22" s="55"/>
      <c r="B22" s="55"/>
      <c r="C22" s="72" t="s">
        <v>158</v>
      </c>
      <c r="D22" s="74"/>
      <c r="E22" s="55"/>
      <c r="F22" s="55"/>
      <c r="G22" s="55"/>
      <c r="H22" s="72" t="s">
        <v>575</v>
      </c>
      <c r="I22" s="72"/>
      <c r="J22" s="55"/>
      <c r="K22" s="55"/>
      <c r="L22" s="55"/>
      <c r="M22" s="55"/>
      <c r="N22" s="55"/>
      <c r="O22" s="72" t="s">
        <v>647</v>
      </c>
      <c r="P22" s="72"/>
      <c r="Q22" s="72"/>
      <c r="R22" s="55"/>
      <c r="S22" s="55"/>
      <c r="T22" s="55"/>
      <c r="U22" s="55"/>
      <c r="V22" s="72" t="s">
        <v>313</v>
      </c>
      <c r="W22" s="72"/>
      <c r="X22" s="55"/>
      <c r="Y22" s="55"/>
      <c r="Z22" s="55"/>
      <c r="AA22" s="55"/>
      <c r="AB22" s="69"/>
      <c r="AC22" s="44" t="s">
        <v>267</v>
      </c>
      <c r="AD22" s="115" t="str">
        <f>IF($F$65=1,$E$80,"")</f>
        <v>・年間コストには，役員報酬が含まれていません．なお，水質検査費用は含まれているので，市町村から助成が受けられる場合はその分を差し引いてください．</v>
      </c>
      <c r="AE22" s="39"/>
      <c r="AF22" s="39"/>
      <c r="AG22" s="39"/>
      <c r="AH22" s="39"/>
      <c r="AI22" s="41"/>
      <c r="AJ22" s="39"/>
      <c r="AK22" s="68"/>
    </row>
    <row r="23" spans="1:37" ht="18.75" customHeight="1">
      <c r="A23" s="55"/>
      <c r="B23" s="55"/>
      <c r="C23" s="72"/>
      <c r="D23" s="72" t="s">
        <v>160</v>
      </c>
      <c r="E23" s="94" t="s">
        <v>44</v>
      </c>
      <c r="F23" s="55"/>
      <c r="G23" s="55"/>
      <c r="H23" s="72"/>
      <c r="I23" s="72" t="s">
        <v>67</v>
      </c>
      <c r="J23" s="94" t="s">
        <v>44</v>
      </c>
      <c r="K23" s="55"/>
      <c r="L23" s="55"/>
      <c r="M23" s="55"/>
      <c r="N23" s="55"/>
      <c r="O23" s="72"/>
      <c r="P23" s="72" t="s">
        <v>67</v>
      </c>
      <c r="Q23" s="94" t="s">
        <v>13</v>
      </c>
      <c r="R23" s="55"/>
      <c r="S23" s="55"/>
      <c r="T23" s="55"/>
      <c r="U23" s="55"/>
      <c r="V23" s="72"/>
      <c r="W23" s="72" t="s">
        <v>67</v>
      </c>
      <c r="X23" s="93" t="str">
        <f>IF($J$4=Choices!$B$29,"飲用井戸","")</f>
        <v/>
      </c>
      <c r="Y23" s="55"/>
      <c r="Z23" s="55"/>
      <c r="AA23" s="55"/>
      <c r="AB23" s="69"/>
      <c r="AC23" s="44" t="s">
        <v>604</v>
      </c>
      <c r="AD23" s="115" t="str">
        <f>_xlfn.IFS(AND($F$62=3,$F$63=2),$E$81,AND($F$62=3,$F$63=1,$F$64=1,$F$67=1),$E$81,$F$61=3,$E$81,TRUE,"")</f>
        <v/>
      </c>
      <c r="AE23" s="39"/>
      <c r="AF23" s="39"/>
      <c r="AG23" s="39"/>
      <c r="AH23" s="39"/>
      <c r="AI23" s="39"/>
      <c r="AJ23" s="39"/>
      <c r="AK23" s="68"/>
    </row>
    <row r="24" spans="1:37" ht="18.75" customHeight="1">
      <c r="A24" s="55"/>
      <c r="B24" s="55"/>
      <c r="C24" s="72"/>
      <c r="D24" s="72" t="s">
        <v>161</v>
      </c>
      <c r="E24" s="94">
        <v>200</v>
      </c>
      <c r="F24" s="72" t="s">
        <v>299</v>
      </c>
      <c r="G24" s="55"/>
      <c r="H24" s="72"/>
      <c r="I24" s="72" t="s">
        <v>68</v>
      </c>
      <c r="J24" s="94">
        <v>200</v>
      </c>
      <c r="K24" s="72" t="s">
        <v>299</v>
      </c>
      <c r="L24" s="55"/>
      <c r="M24" s="55"/>
      <c r="N24" s="55"/>
      <c r="O24" s="72"/>
      <c r="P24" s="72" t="s">
        <v>68</v>
      </c>
      <c r="Q24" s="94">
        <v>500</v>
      </c>
      <c r="R24" s="72" t="s">
        <v>299</v>
      </c>
      <c r="S24" s="72"/>
      <c r="T24" s="72"/>
      <c r="U24" s="55"/>
      <c r="V24" s="72"/>
      <c r="W24" s="72" t="s">
        <v>335</v>
      </c>
      <c r="X24" s="55"/>
      <c r="Y24" s="94">
        <v>8</v>
      </c>
      <c r="Z24" s="72" t="s">
        <v>97</v>
      </c>
      <c r="AA24" s="55"/>
      <c r="AB24" s="69"/>
      <c r="AC24" s="44" t="s">
        <v>266</v>
      </c>
      <c r="AD24" s="115" t="str">
        <f>_xlfn.IFS($F$61=4,$E$82,$F$62=4,$E$82,TRUE,"")</f>
        <v>・維持管理を地域で実施する場合は，市町村の助成制度を使える可能性があるので確認してください．</v>
      </c>
      <c r="AE24" s="39"/>
      <c r="AF24" s="39"/>
      <c r="AG24" s="39"/>
      <c r="AH24" s="39"/>
      <c r="AI24" s="41"/>
      <c r="AJ24" s="39"/>
      <c r="AK24" s="68"/>
    </row>
    <row r="25" spans="1:37" ht="18.75" customHeight="1">
      <c r="A25" s="55"/>
      <c r="B25" s="55"/>
      <c r="C25" s="72"/>
      <c r="D25" s="72" t="s">
        <v>162</v>
      </c>
      <c r="E25" s="94">
        <v>50</v>
      </c>
      <c r="F25" s="72" t="s">
        <v>299</v>
      </c>
      <c r="G25" s="55"/>
      <c r="H25" s="72"/>
      <c r="I25" s="72" t="s">
        <v>69</v>
      </c>
      <c r="J25" s="94">
        <v>50</v>
      </c>
      <c r="K25" s="72" t="s">
        <v>299</v>
      </c>
      <c r="L25" s="55"/>
      <c r="M25" s="55"/>
      <c r="N25" s="55"/>
      <c r="O25" s="72"/>
      <c r="P25" s="72" t="s">
        <v>69</v>
      </c>
      <c r="Q25" s="94">
        <v>400</v>
      </c>
      <c r="R25" s="72" t="s">
        <v>299</v>
      </c>
      <c r="S25" s="72"/>
      <c r="T25" s="72"/>
      <c r="U25" s="55"/>
      <c r="V25" s="72"/>
      <c r="W25" s="72" t="s">
        <v>336</v>
      </c>
      <c r="X25" s="55"/>
      <c r="Y25" s="94">
        <v>1</v>
      </c>
      <c r="Z25" s="72" t="s">
        <v>97</v>
      </c>
      <c r="AA25" s="55"/>
      <c r="AB25" s="69"/>
      <c r="AC25" s="44" t="s">
        <v>633</v>
      </c>
      <c r="AD25" s="115" t="str">
        <f>_xlfn.IFS($F$61=2,$E$83,$F$61=4,$E$83,TRUE,"")</f>
        <v>・維持管理を委託に変更する場合は，契約形態について実践ガイドの事例等を参考にしてください．</v>
      </c>
      <c r="AE25" s="39"/>
      <c r="AF25" s="39"/>
      <c r="AG25" s="39"/>
      <c r="AH25" s="39"/>
      <c r="AI25" s="41"/>
      <c r="AJ25" s="39"/>
      <c r="AK25" s="68"/>
    </row>
    <row r="26" spans="1:37" ht="18.75" customHeight="1">
      <c r="A26" s="55"/>
      <c r="B26" s="55"/>
      <c r="C26" s="72"/>
      <c r="D26" s="72" t="s">
        <v>163</v>
      </c>
      <c r="E26" s="94">
        <v>100</v>
      </c>
      <c r="F26" s="72" t="s">
        <v>348</v>
      </c>
      <c r="G26" s="55"/>
      <c r="H26" s="72"/>
      <c r="I26" s="72" t="s">
        <v>70</v>
      </c>
      <c r="J26" s="94">
        <v>50</v>
      </c>
      <c r="K26" s="72" t="s">
        <v>348</v>
      </c>
      <c r="L26" s="55"/>
      <c r="M26" s="55"/>
      <c r="N26" s="55"/>
      <c r="O26" s="72"/>
      <c r="P26" s="72" t="s">
        <v>70</v>
      </c>
      <c r="Q26" s="94">
        <v>250</v>
      </c>
      <c r="R26" s="72" t="s">
        <v>348</v>
      </c>
      <c r="S26" s="72"/>
      <c r="T26" s="72"/>
      <c r="U26" s="55"/>
      <c r="V26" s="72"/>
      <c r="W26" s="72" t="s">
        <v>434</v>
      </c>
      <c r="X26" s="55"/>
      <c r="Y26" s="94">
        <v>3</v>
      </c>
      <c r="Z26" s="72" t="s">
        <v>433</v>
      </c>
      <c r="AA26" s="55"/>
      <c r="AB26" s="69"/>
      <c r="AC26" s="44" t="s">
        <v>586</v>
      </c>
      <c r="AD26" s="115" t="str">
        <f>IF($F$66=1,$E$84,"")</f>
        <v/>
      </c>
      <c r="AE26" s="39"/>
      <c r="AF26" s="39"/>
      <c r="AG26" s="39"/>
      <c r="AH26" s="39"/>
      <c r="AI26" s="41"/>
      <c r="AJ26" s="39"/>
      <c r="AK26" s="68"/>
    </row>
    <row r="27" spans="1:37" ht="18.75" customHeight="1">
      <c r="A27" s="55"/>
      <c r="B27" s="55"/>
      <c r="C27" s="72"/>
      <c r="D27" s="72" t="s">
        <v>164</v>
      </c>
      <c r="E27" s="95" t="s">
        <v>277</v>
      </c>
      <c r="F27" s="55"/>
      <c r="G27" s="55"/>
      <c r="H27" s="72"/>
      <c r="I27" s="72" t="s">
        <v>71</v>
      </c>
      <c r="J27" s="95" t="s">
        <v>277</v>
      </c>
      <c r="K27" s="55"/>
      <c r="L27" s="55"/>
      <c r="M27" s="55"/>
      <c r="N27" s="55"/>
      <c r="O27" s="72"/>
      <c r="P27" s="72" t="s">
        <v>71</v>
      </c>
      <c r="Q27" s="95" t="s">
        <v>278</v>
      </c>
      <c r="R27" s="55"/>
      <c r="S27" s="55"/>
      <c r="T27" s="55"/>
      <c r="U27" s="55"/>
      <c r="V27" s="72"/>
      <c r="W27" s="72"/>
      <c r="X27" s="55"/>
      <c r="Y27" s="55"/>
      <c r="Z27" s="55"/>
      <c r="AA27" s="55"/>
      <c r="AB27" s="69"/>
      <c r="AC27" s="73" t="s">
        <v>377</v>
      </c>
      <c r="AD27" s="115" t="str">
        <f>IF(OR($F$60=2,$F$60=3),$E$85,"")</f>
        <v/>
      </c>
      <c r="AE27" s="39"/>
      <c r="AF27" s="39"/>
      <c r="AG27" s="39"/>
      <c r="AH27" s="39"/>
      <c r="AI27" s="41"/>
      <c r="AJ27" s="39"/>
      <c r="AK27" s="68"/>
    </row>
    <row r="28" spans="1:37" ht="18.75" customHeight="1">
      <c r="A28" s="55"/>
      <c r="B28" s="55"/>
      <c r="C28" s="55"/>
      <c r="D28" s="55"/>
      <c r="E28" s="55"/>
      <c r="F28" s="55"/>
      <c r="G28" s="55"/>
      <c r="H28" s="72"/>
      <c r="I28" s="72"/>
      <c r="J28" s="55"/>
      <c r="K28" s="55"/>
      <c r="L28" s="55"/>
      <c r="M28" s="55"/>
      <c r="N28" s="55"/>
      <c r="O28" s="55"/>
      <c r="P28" s="55"/>
      <c r="Q28" s="60"/>
      <c r="R28" s="55"/>
      <c r="S28" s="55"/>
      <c r="T28" s="55"/>
      <c r="U28" s="55"/>
      <c r="V28" s="58" t="s">
        <v>318</v>
      </c>
      <c r="W28" s="55"/>
      <c r="X28" s="55"/>
      <c r="Y28" s="55"/>
      <c r="Z28" s="55"/>
      <c r="AA28" s="55"/>
      <c r="AB28" s="69"/>
      <c r="AC28" s="44" t="s">
        <v>634</v>
      </c>
      <c r="AD28" s="115" t="str">
        <f>_xlfn.IFS(AND($F$60=2,$F$67=1),$E$86,$F$60=3,$E$86,TRUE,"")</f>
        <v/>
      </c>
      <c r="AE28" s="39"/>
      <c r="AF28" s="39"/>
      <c r="AG28" s="39"/>
      <c r="AH28" s="39"/>
      <c r="AI28" s="39"/>
      <c r="AJ28" s="39"/>
      <c r="AK28" s="68"/>
    </row>
    <row r="29" spans="1:37" ht="18.75" customHeight="1">
      <c r="A29" s="55"/>
      <c r="B29" s="55"/>
      <c r="C29" s="72" t="s">
        <v>159</v>
      </c>
      <c r="D29" s="72"/>
      <c r="E29" s="72"/>
      <c r="F29" s="55"/>
      <c r="G29" s="55"/>
      <c r="H29" s="72" t="s">
        <v>574</v>
      </c>
      <c r="I29" s="72"/>
      <c r="J29" s="55"/>
      <c r="K29" s="55"/>
      <c r="L29" s="55"/>
      <c r="M29" s="55"/>
      <c r="N29" s="55"/>
      <c r="O29" s="72" t="s">
        <v>576</v>
      </c>
      <c r="P29" s="72"/>
      <c r="Q29" s="84"/>
      <c r="R29" s="55"/>
      <c r="S29" s="55"/>
      <c r="T29" s="55"/>
      <c r="U29" s="55"/>
      <c r="V29" s="72" t="s">
        <v>315</v>
      </c>
      <c r="W29" s="72"/>
      <c r="X29" s="55"/>
      <c r="Y29" s="55"/>
      <c r="Z29" s="55"/>
      <c r="AA29" s="55"/>
      <c r="AB29" s="69"/>
      <c r="AC29" s="44" t="s">
        <v>635</v>
      </c>
      <c r="AD29" s="115" t="str">
        <f>IF($F$67=2,$E$87,"")</f>
        <v/>
      </c>
      <c r="AE29" s="39"/>
      <c r="AF29" s="39"/>
      <c r="AG29" s="39"/>
      <c r="AH29" s="39"/>
      <c r="AI29" s="41"/>
      <c r="AJ29" s="39"/>
      <c r="AK29" s="68"/>
    </row>
    <row r="30" spans="1:37" ht="18.75" customHeight="1">
      <c r="A30" s="55"/>
      <c r="B30" s="55"/>
      <c r="C30" s="72"/>
      <c r="D30" s="72" t="s">
        <v>165</v>
      </c>
      <c r="E30" s="94" t="s">
        <v>57</v>
      </c>
      <c r="F30" s="55"/>
      <c r="G30" s="55"/>
      <c r="H30" s="72"/>
      <c r="I30" s="72" t="s">
        <v>165</v>
      </c>
      <c r="J30" s="94" t="s">
        <v>48</v>
      </c>
      <c r="K30" s="55"/>
      <c r="L30" s="55"/>
      <c r="M30" s="55"/>
      <c r="N30" s="55"/>
      <c r="O30" s="72"/>
      <c r="P30" s="72" t="s">
        <v>165</v>
      </c>
      <c r="Q30" s="94" t="s">
        <v>48</v>
      </c>
      <c r="R30" s="55"/>
      <c r="S30" s="55"/>
      <c r="T30" s="55"/>
      <c r="U30" s="55"/>
      <c r="V30" s="72"/>
      <c r="W30" s="72" t="s">
        <v>317</v>
      </c>
      <c r="X30" s="55"/>
      <c r="Y30" s="55"/>
      <c r="Z30" s="55"/>
      <c r="AA30" s="55"/>
      <c r="AB30" s="69"/>
      <c r="AC30" s="44" t="s">
        <v>269</v>
      </c>
      <c r="AD30" s="115" t="str">
        <f>IF($F$60=1,_xlfn.IFS($F68=1,$E$89,$F68=3,$E$90,$F68=6,$E$91,TRUE,""),"")</f>
        <v>・表流水を水源にする場合は，当該河川の水利権を確認してください．</v>
      </c>
      <c r="AE30" s="39"/>
      <c r="AF30" s="39"/>
      <c r="AG30" s="39"/>
      <c r="AH30" s="39"/>
      <c r="AI30" s="41"/>
      <c r="AJ30" s="39"/>
      <c r="AK30" s="68"/>
    </row>
    <row r="31" spans="1:37" ht="18.75" customHeight="1">
      <c r="A31" s="55"/>
      <c r="B31" s="55"/>
      <c r="C31" s="72"/>
      <c r="D31" s="72" t="s">
        <v>349</v>
      </c>
      <c r="E31" s="94"/>
      <c r="F31" s="55"/>
      <c r="G31" s="55"/>
      <c r="H31" s="72"/>
      <c r="I31" s="72" t="s">
        <v>349</v>
      </c>
      <c r="J31" s="94"/>
      <c r="K31" s="55"/>
      <c r="L31" s="55"/>
      <c r="M31" s="55"/>
      <c r="N31" s="55"/>
      <c r="O31" s="72"/>
      <c r="P31" s="72" t="s">
        <v>349</v>
      </c>
      <c r="Q31" s="94"/>
      <c r="R31" s="55"/>
      <c r="S31" s="55"/>
      <c r="T31" s="55"/>
      <c r="U31" s="55"/>
      <c r="V31" s="72"/>
      <c r="W31" s="72" t="s">
        <v>334</v>
      </c>
      <c r="X31" s="55"/>
      <c r="Y31" s="94">
        <v>5</v>
      </c>
      <c r="Z31" s="72" t="s">
        <v>97</v>
      </c>
      <c r="AA31" s="55"/>
      <c r="AB31" s="69"/>
      <c r="AC31" s="44" t="s">
        <v>270</v>
      </c>
      <c r="AD31" s="115" t="str">
        <f>IF($F$60=1,_xlfn.IFS($F69=1,$E$89,$F69=3,$E$90,$F69=6,$E$91,TRUE,""),"")</f>
        <v/>
      </c>
      <c r="AE31" s="39"/>
      <c r="AF31" s="39"/>
      <c r="AG31" s="39"/>
      <c r="AH31" s="39"/>
      <c r="AI31" s="41"/>
      <c r="AJ31" s="39"/>
      <c r="AK31" s="39"/>
    </row>
    <row r="32" spans="1:37" ht="18.75" customHeight="1">
      <c r="A32" s="55"/>
      <c r="B32" s="55"/>
      <c r="C32" s="72"/>
      <c r="D32" s="72" t="s">
        <v>350</v>
      </c>
      <c r="E32" s="94"/>
      <c r="F32" s="55"/>
      <c r="G32" s="55"/>
      <c r="H32" s="72"/>
      <c r="I32" s="72" t="s">
        <v>350</v>
      </c>
      <c r="J32" s="94"/>
      <c r="K32" s="55"/>
      <c r="L32" s="55"/>
      <c r="M32" s="55"/>
      <c r="N32" s="55"/>
      <c r="O32" s="72"/>
      <c r="P32" s="72" t="s">
        <v>350</v>
      </c>
      <c r="Q32" s="94"/>
      <c r="R32" s="55"/>
      <c r="S32" s="55"/>
      <c r="T32" s="55"/>
      <c r="U32" s="55"/>
      <c r="V32" s="72"/>
      <c r="W32" s="72" t="s">
        <v>343</v>
      </c>
      <c r="X32" s="55"/>
      <c r="Y32" s="55"/>
      <c r="Z32" s="55"/>
      <c r="AA32" s="55"/>
      <c r="AB32" s="69"/>
      <c r="AC32" s="44" t="s">
        <v>271</v>
      </c>
      <c r="AD32" s="115" t="str">
        <f>IF($F$60=1,_xlfn.IFS($F70=1,$E$89,$F70=3,$E$90,$F70=6,$E$91,TRUE,""),"")</f>
        <v/>
      </c>
      <c r="AE32" s="39"/>
      <c r="AF32" s="39"/>
      <c r="AG32" s="39"/>
      <c r="AH32" s="39"/>
      <c r="AI32" s="39"/>
      <c r="AJ32" s="39"/>
      <c r="AK32" s="39"/>
    </row>
    <row r="33" spans="1:37" ht="18.75" customHeight="1">
      <c r="A33" s="55"/>
      <c r="B33" s="55"/>
      <c r="C33" s="72"/>
      <c r="D33" s="72" t="s">
        <v>351</v>
      </c>
      <c r="E33" s="94"/>
      <c r="F33" s="55"/>
      <c r="G33" s="55"/>
      <c r="H33" s="72"/>
      <c r="I33" s="72" t="s">
        <v>351</v>
      </c>
      <c r="J33" s="94"/>
      <c r="K33" s="55"/>
      <c r="L33" s="55"/>
      <c r="M33" s="55"/>
      <c r="N33" s="55"/>
      <c r="O33" s="72"/>
      <c r="P33" s="72" t="s">
        <v>351</v>
      </c>
      <c r="Q33" s="94"/>
      <c r="R33" s="55"/>
      <c r="S33" s="55"/>
      <c r="T33" s="55"/>
      <c r="U33" s="55"/>
      <c r="V33" s="72"/>
      <c r="W33" s="72" t="s">
        <v>333</v>
      </c>
      <c r="X33" s="55"/>
      <c r="Y33" s="94"/>
      <c r="Z33" s="72" t="s">
        <v>97</v>
      </c>
      <c r="AA33" s="55"/>
      <c r="AB33" s="69"/>
      <c r="AC33" s="44" t="s">
        <v>272</v>
      </c>
      <c r="AD33" s="115" t="str">
        <f>IF($F$60=1,_xlfn.IFS($F71=1,$E$89,$F71=3,$E$90,$F71=6,$E$91,TRUE,""),"")</f>
        <v/>
      </c>
      <c r="AE33" s="39"/>
      <c r="AF33" s="39"/>
      <c r="AG33" s="39"/>
      <c r="AH33" s="39"/>
      <c r="AI33" s="39"/>
      <c r="AJ33" s="39"/>
      <c r="AK33" s="39"/>
    </row>
    <row r="34" spans="1:37" ht="18.75" customHeight="1">
      <c r="A34" s="55"/>
      <c r="B34" s="55"/>
      <c r="C34" s="72"/>
      <c r="D34" s="72" t="s">
        <v>166</v>
      </c>
      <c r="E34" s="94" t="s">
        <v>72</v>
      </c>
      <c r="F34" s="55"/>
      <c r="G34" s="55"/>
      <c r="H34" s="72"/>
      <c r="I34" s="72" t="s">
        <v>166</v>
      </c>
      <c r="J34" s="94" t="s">
        <v>108</v>
      </c>
      <c r="K34" s="55"/>
      <c r="L34" s="55"/>
      <c r="M34" s="55"/>
      <c r="N34" s="55"/>
      <c r="O34" s="72"/>
      <c r="P34" s="72" t="s">
        <v>166</v>
      </c>
      <c r="Q34" s="94" t="s">
        <v>54</v>
      </c>
      <c r="R34" s="55"/>
      <c r="S34" s="55"/>
      <c r="T34" s="55"/>
      <c r="U34" s="55"/>
      <c r="V34" s="72"/>
      <c r="W34" s="72" t="s">
        <v>342</v>
      </c>
      <c r="X34" s="55"/>
      <c r="Y34" s="55"/>
      <c r="Z34" s="55"/>
      <c r="AA34" s="55"/>
      <c r="AB34" s="69"/>
      <c r="AC34" s="44" t="s">
        <v>273</v>
      </c>
      <c r="AD34" s="115" t="str">
        <f>IF($F$60=1,_xlfn.IFS($F72=1,$E$94,$F72=2,$E$95,$F72=3,$E$96,$F72=5,$E$97,TRUE,""),"")</f>
        <v/>
      </c>
      <c r="AE34" s="39"/>
      <c r="AF34" s="39"/>
      <c r="AG34" s="39"/>
      <c r="AH34" s="39"/>
      <c r="AI34" s="39"/>
      <c r="AJ34" s="39"/>
      <c r="AK34" s="39"/>
    </row>
    <row r="35" spans="1:37" ht="18.75" customHeight="1">
      <c r="A35" s="55"/>
      <c r="B35" s="55"/>
      <c r="C35" s="72"/>
      <c r="D35" s="72" t="s">
        <v>352</v>
      </c>
      <c r="E35" s="94"/>
      <c r="F35" s="55"/>
      <c r="G35" s="55"/>
      <c r="H35" s="72"/>
      <c r="I35" s="72" t="s">
        <v>352</v>
      </c>
      <c r="J35" s="94"/>
      <c r="K35" s="55"/>
      <c r="L35" s="55"/>
      <c r="M35" s="55"/>
      <c r="N35" s="55"/>
      <c r="O35" s="72"/>
      <c r="P35" s="72" t="s">
        <v>352</v>
      </c>
      <c r="Q35" s="94"/>
      <c r="R35" s="55"/>
      <c r="S35" s="55"/>
      <c r="T35" s="55"/>
      <c r="U35" s="55"/>
      <c r="V35" s="72"/>
      <c r="W35" s="72" t="s">
        <v>316</v>
      </c>
      <c r="X35" s="55"/>
      <c r="Y35" s="55"/>
      <c r="Z35" s="55"/>
      <c r="AA35" s="55"/>
      <c r="AB35" s="69"/>
      <c r="AC35" s="44" t="s">
        <v>274</v>
      </c>
      <c r="AD35" s="115" t="str">
        <f>IF($F$60=1,_xlfn.IFS($F73=1,$E$94,$F73=2,$E$95,$F73=3,$E$96,$F73=5,$E$97,TRUE,""),"")</f>
        <v/>
      </c>
      <c r="AE35" s="39"/>
      <c r="AF35" s="39"/>
      <c r="AG35" s="39"/>
      <c r="AH35" s="39"/>
      <c r="AI35" s="41"/>
      <c r="AJ35" s="39"/>
      <c r="AK35" s="39"/>
    </row>
    <row r="36" spans="1:37" ht="18.75" customHeight="1">
      <c r="A36" s="55"/>
      <c r="B36" s="55"/>
      <c r="C36" s="72"/>
      <c r="D36" s="72" t="s">
        <v>353</v>
      </c>
      <c r="E36" s="94"/>
      <c r="F36" s="55"/>
      <c r="G36" s="55"/>
      <c r="H36" s="72"/>
      <c r="I36" s="72" t="s">
        <v>353</v>
      </c>
      <c r="J36" s="94"/>
      <c r="K36" s="55"/>
      <c r="L36" s="55"/>
      <c r="M36" s="55"/>
      <c r="N36" s="55"/>
      <c r="O36" s="72"/>
      <c r="P36" s="72" t="s">
        <v>353</v>
      </c>
      <c r="Q36" s="94"/>
      <c r="R36" s="55"/>
      <c r="S36" s="55"/>
      <c r="T36" s="55"/>
      <c r="U36" s="55"/>
      <c r="V36" s="72"/>
      <c r="W36" s="72" t="s">
        <v>331</v>
      </c>
      <c r="X36" s="55"/>
      <c r="Y36" s="94">
        <v>3</v>
      </c>
      <c r="Z36" s="72" t="s">
        <v>97</v>
      </c>
      <c r="AA36" s="55"/>
      <c r="AB36" s="69"/>
      <c r="AC36" s="44" t="s">
        <v>275</v>
      </c>
      <c r="AD36" s="115" t="str">
        <f>IF($F$60=1,_xlfn.IFS($F74=1,$E$94,$F74=2,$E$95,$F74=3,$E$96,$F74=5,$E$97,TRUE,""),"")</f>
        <v/>
      </c>
      <c r="AE36" s="39"/>
      <c r="AF36" s="39"/>
      <c r="AG36" s="39"/>
      <c r="AH36" s="39"/>
      <c r="AI36" s="41"/>
      <c r="AJ36" s="39"/>
      <c r="AK36" s="39"/>
    </row>
    <row r="37" spans="1:37" ht="18.75" customHeight="1">
      <c r="A37" s="55"/>
      <c r="B37" s="55"/>
      <c r="C37" s="72"/>
      <c r="D37" s="72" t="s">
        <v>354</v>
      </c>
      <c r="E37" s="94"/>
      <c r="F37" s="55"/>
      <c r="G37" s="55"/>
      <c r="H37" s="72"/>
      <c r="I37" s="72" t="s">
        <v>354</v>
      </c>
      <c r="J37" s="94"/>
      <c r="K37" s="55"/>
      <c r="L37" s="55"/>
      <c r="M37" s="55"/>
      <c r="N37" s="55"/>
      <c r="O37" s="72"/>
      <c r="P37" s="72" t="s">
        <v>354</v>
      </c>
      <c r="Q37" s="94"/>
      <c r="R37" s="55"/>
      <c r="S37" s="55"/>
      <c r="T37" s="55"/>
      <c r="U37" s="55"/>
      <c r="V37" s="72"/>
      <c r="W37" s="72" t="s">
        <v>641</v>
      </c>
      <c r="X37" s="55"/>
      <c r="Y37" s="55"/>
      <c r="Z37" s="55"/>
      <c r="AA37" s="55"/>
      <c r="AB37" s="69"/>
      <c r="AC37" s="44" t="s">
        <v>276</v>
      </c>
      <c r="AD37" s="115" t="str">
        <f>IF($F$60=1,_xlfn.IFS($F75=1,$E$94,$F75=2,$E$95,$F75=3,$E$96,$F75=5,$E$97,TRUE,""),"")</f>
        <v/>
      </c>
      <c r="AE37" s="39"/>
      <c r="AF37" s="39"/>
      <c r="AG37" s="39"/>
      <c r="AH37" s="39"/>
      <c r="AI37" s="41"/>
      <c r="AJ37" s="39"/>
      <c r="AK37" s="39"/>
    </row>
    <row r="38" spans="1:37" ht="18.75" customHeight="1">
      <c r="A38" s="55"/>
      <c r="B38" s="55"/>
      <c r="C38" s="72"/>
      <c r="D38" s="72" t="s">
        <v>167</v>
      </c>
      <c r="E38" s="94">
        <v>1</v>
      </c>
      <c r="F38" s="55"/>
      <c r="G38" s="55"/>
      <c r="H38" s="72"/>
      <c r="I38" s="72" t="s">
        <v>167</v>
      </c>
      <c r="J38" s="94">
        <v>1</v>
      </c>
      <c r="K38" s="55"/>
      <c r="L38" s="55"/>
      <c r="M38" s="55"/>
      <c r="N38" s="55"/>
      <c r="O38" s="72"/>
      <c r="P38" s="72" t="s">
        <v>167</v>
      </c>
      <c r="Q38" s="94">
        <v>1</v>
      </c>
      <c r="R38" s="55"/>
      <c r="S38" s="55"/>
      <c r="T38" s="55"/>
      <c r="U38" s="55"/>
      <c r="V38" s="72"/>
      <c r="W38" s="72" t="s">
        <v>330</v>
      </c>
      <c r="X38" s="55"/>
      <c r="Y38" s="94">
        <v>1</v>
      </c>
      <c r="Z38" s="72" t="s">
        <v>97</v>
      </c>
      <c r="AA38" s="55"/>
      <c r="AB38" s="69"/>
      <c r="AC38" s="44" t="s">
        <v>339</v>
      </c>
      <c r="AD38" s="115" t="str">
        <f>IF($F$60=4,$E$100,"")</f>
        <v/>
      </c>
      <c r="AE38" s="39"/>
      <c r="AF38" s="39"/>
      <c r="AG38" s="39"/>
      <c r="AH38" s="39"/>
      <c r="AI38" s="41"/>
      <c r="AJ38" s="39"/>
      <c r="AK38" s="39"/>
    </row>
    <row r="39" spans="1:37" ht="18.75" customHeight="1">
      <c r="A39" s="55"/>
      <c r="B39" s="55"/>
      <c r="C39" s="55"/>
      <c r="D39" s="55"/>
      <c r="E39" s="55"/>
      <c r="F39" s="55"/>
      <c r="G39" s="55"/>
      <c r="H39" s="72"/>
      <c r="I39" s="75" t="s">
        <v>284</v>
      </c>
      <c r="J39" s="55"/>
      <c r="K39" s="55"/>
      <c r="L39" s="55"/>
      <c r="M39" s="55"/>
      <c r="N39" s="58"/>
      <c r="O39" s="55"/>
      <c r="P39" s="75" t="s">
        <v>284</v>
      </c>
      <c r="Q39" s="60"/>
      <c r="R39" s="55"/>
      <c r="S39" s="55"/>
      <c r="T39" s="55"/>
      <c r="U39" s="55"/>
      <c r="V39" s="72"/>
      <c r="W39" s="72" t="s">
        <v>332</v>
      </c>
      <c r="X39" s="55"/>
      <c r="Y39" s="55"/>
      <c r="Z39" s="55"/>
      <c r="AA39" s="55"/>
      <c r="AB39" s="66"/>
      <c r="AC39" s="44" t="s">
        <v>340</v>
      </c>
      <c r="AD39" s="115" t="str">
        <f>IF($F$60=4,$E$101,"")</f>
        <v/>
      </c>
      <c r="AE39" s="39"/>
      <c r="AF39" s="39"/>
      <c r="AG39" s="39"/>
      <c r="AH39" s="39"/>
      <c r="AI39" s="41"/>
      <c r="AJ39" s="39"/>
      <c r="AK39" s="39"/>
    </row>
    <row r="40" spans="1:37" ht="18.75" customHeight="1">
      <c r="A40" s="55"/>
      <c r="B40" s="55"/>
      <c r="C40" s="55"/>
      <c r="D40" s="55"/>
      <c r="E40" s="55"/>
      <c r="F40" s="55"/>
      <c r="G40" s="55"/>
      <c r="H40" s="72"/>
      <c r="I40" s="75"/>
      <c r="J40" s="55"/>
      <c r="K40" s="55"/>
      <c r="L40" s="55"/>
      <c r="M40" s="55"/>
      <c r="N40" s="58"/>
      <c r="O40" s="58" t="s">
        <v>584</v>
      </c>
      <c r="P40" s="55"/>
      <c r="Q40" s="60"/>
      <c r="R40" s="55"/>
      <c r="S40" s="55"/>
      <c r="T40" s="55"/>
      <c r="U40" s="55"/>
      <c r="V40" s="72"/>
      <c r="W40" s="75"/>
      <c r="X40" s="55"/>
      <c r="Y40" s="55"/>
      <c r="Z40" s="55"/>
      <c r="AA40" s="55"/>
      <c r="AB40" s="66"/>
      <c r="AC40" s="44" t="s">
        <v>341</v>
      </c>
      <c r="AD40" s="115" t="str">
        <f>IF($F$60=4,$E$102,"")</f>
        <v/>
      </c>
      <c r="AE40" s="39"/>
      <c r="AF40" s="39"/>
      <c r="AG40" s="39"/>
      <c r="AH40" s="39"/>
      <c r="AI40" s="41"/>
      <c r="AJ40" s="39"/>
      <c r="AK40" s="39"/>
    </row>
    <row r="41" spans="1:37" ht="18.75" customHeight="1">
      <c r="A41" s="55"/>
      <c r="B41" s="55"/>
      <c r="C41" s="55"/>
      <c r="D41" s="55"/>
      <c r="E41" s="55"/>
      <c r="F41" s="55"/>
      <c r="G41" s="55"/>
      <c r="H41" s="72" t="s">
        <v>168</v>
      </c>
      <c r="I41" s="72"/>
      <c r="J41" s="55"/>
      <c r="K41" s="55"/>
      <c r="L41" s="55"/>
      <c r="M41" s="55"/>
      <c r="N41" s="55"/>
      <c r="O41" s="72" t="s">
        <v>168</v>
      </c>
      <c r="P41" s="55"/>
      <c r="Q41" s="60"/>
      <c r="R41" s="55"/>
      <c r="S41" s="55"/>
      <c r="T41" s="55"/>
      <c r="U41" s="55"/>
      <c r="V41" s="72" t="s">
        <v>168</v>
      </c>
      <c r="W41" s="72"/>
      <c r="X41" s="55"/>
      <c r="Y41" s="55"/>
      <c r="Z41" s="55"/>
      <c r="AA41" s="55"/>
      <c r="AB41" s="66"/>
      <c r="AC41" s="39"/>
      <c r="AD41" s="39"/>
      <c r="AE41" s="39"/>
      <c r="AF41" s="39"/>
      <c r="AG41" s="39"/>
      <c r="AH41" s="39"/>
      <c r="AI41" s="41"/>
      <c r="AJ41" s="39"/>
      <c r="AK41" s="39"/>
    </row>
    <row r="42" spans="1:37" ht="18.75" customHeight="1">
      <c r="A42" s="55"/>
      <c r="B42" s="55"/>
      <c r="C42" s="55"/>
      <c r="D42" s="55"/>
      <c r="E42" s="55"/>
      <c r="F42" s="55"/>
      <c r="G42" s="55"/>
      <c r="H42" s="72"/>
      <c r="I42" s="72" t="s">
        <v>282</v>
      </c>
      <c r="J42" s="96" t="s">
        <v>564</v>
      </c>
      <c r="K42" s="96">
        <v>500</v>
      </c>
      <c r="L42" s="72" t="s">
        <v>86</v>
      </c>
      <c r="M42" s="55"/>
      <c r="N42" s="55"/>
      <c r="O42" s="55"/>
      <c r="P42" s="72"/>
      <c r="Q42" s="165"/>
      <c r="R42" s="166"/>
      <c r="S42" s="72"/>
      <c r="T42" s="72"/>
      <c r="U42" s="55"/>
      <c r="V42" s="72"/>
      <c r="W42" s="72" t="s">
        <v>319</v>
      </c>
      <c r="X42" s="55"/>
      <c r="Y42" s="55"/>
      <c r="Z42" s="72"/>
      <c r="AA42" s="55"/>
      <c r="AB42" s="66"/>
      <c r="AC42" s="39"/>
      <c r="AD42" s="39"/>
      <c r="AE42" s="39"/>
      <c r="AF42" s="39"/>
      <c r="AG42" s="39"/>
      <c r="AH42" s="39"/>
      <c r="AI42" s="41"/>
      <c r="AJ42" s="39"/>
      <c r="AK42" s="39"/>
    </row>
    <row r="43" spans="1:37" ht="18.75" customHeight="1">
      <c r="A43" s="55"/>
      <c r="B43" s="55"/>
      <c r="C43" s="55"/>
      <c r="D43" s="55"/>
      <c r="E43" s="55"/>
      <c r="F43" s="55"/>
      <c r="G43" s="55"/>
      <c r="H43" s="72"/>
      <c r="I43" s="72" t="s">
        <v>378</v>
      </c>
      <c r="J43" s="96" t="s">
        <v>562</v>
      </c>
      <c r="K43" s="96">
        <v>1000</v>
      </c>
      <c r="L43" s="72" t="s">
        <v>86</v>
      </c>
      <c r="M43" s="55"/>
      <c r="N43" s="55"/>
      <c r="O43" s="55"/>
      <c r="P43" s="72" t="s">
        <v>378</v>
      </c>
      <c r="Q43" s="163" t="s">
        <v>562</v>
      </c>
      <c r="R43" s="164">
        <v>4000</v>
      </c>
      <c r="S43" s="72" t="s">
        <v>86</v>
      </c>
      <c r="T43" s="72"/>
      <c r="U43" s="55"/>
      <c r="V43" s="72"/>
      <c r="W43" s="72" t="s">
        <v>323</v>
      </c>
      <c r="X43" s="85" t="s">
        <v>638</v>
      </c>
      <c r="Y43" s="85">
        <f>$Y$31</f>
        <v>5</v>
      </c>
      <c r="Z43" s="72" t="s">
        <v>106</v>
      </c>
      <c r="AA43" s="55"/>
      <c r="AB43" s="66"/>
      <c r="AC43" s="39"/>
      <c r="AD43" s="39"/>
      <c r="AE43" s="39"/>
      <c r="AF43" s="39"/>
      <c r="AG43" s="39"/>
      <c r="AH43" s="39"/>
      <c r="AI43" s="41"/>
      <c r="AJ43" s="39"/>
      <c r="AK43" s="39"/>
    </row>
    <row r="44" spans="1:37" ht="18.75" customHeight="1">
      <c r="A44" s="55"/>
      <c r="B44" s="55"/>
      <c r="C44" s="55"/>
      <c r="D44" s="55"/>
      <c r="E44" s="55"/>
      <c r="F44" s="55"/>
      <c r="G44" s="55"/>
      <c r="H44" s="72"/>
      <c r="I44" s="72" t="s">
        <v>379</v>
      </c>
      <c r="J44" s="96" t="s">
        <v>560</v>
      </c>
      <c r="K44" s="96">
        <v>1000</v>
      </c>
      <c r="L44" s="72" t="s">
        <v>86</v>
      </c>
      <c r="M44" s="55"/>
      <c r="N44" s="55"/>
      <c r="O44" s="55"/>
      <c r="P44" s="72" t="s">
        <v>379</v>
      </c>
      <c r="Q44" s="98"/>
      <c r="R44" s="96"/>
      <c r="S44" s="72" t="s">
        <v>86</v>
      </c>
      <c r="T44" s="72"/>
      <c r="U44" s="55"/>
      <c r="V44" s="72"/>
      <c r="W44" s="72" t="s">
        <v>419</v>
      </c>
      <c r="X44" s="96"/>
      <c r="Y44" s="96"/>
      <c r="Z44" s="72" t="s">
        <v>86</v>
      </c>
      <c r="AA44" s="55"/>
      <c r="AB44" s="66"/>
      <c r="AC44" s="39"/>
      <c r="AD44" s="39"/>
      <c r="AE44" s="39"/>
      <c r="AF44" s="39"/>
      <c r="AG44" s="39"/>
      <c r="AH44" s="39"/>
      <c r="AI44" s="41"/>
      <c r="AJ44" s="39"/>
      <c r="AK44" s="39"/>
    </row>
    <row r="45" spans="1:37" ht="18.75" customHeight="1">
      <c r="A45" s="55"/>
      <c r="B45" s="55"/>
      <c r="C45" s="55"/>
      <c r="D45" s="55"/>
      <c r="E45" s="55"/>
      <c r="F45" s="55"/>
      <c r="G45" s="55"/>
      <c r="H45" s="72"/>
      <c r="I45" s="72" t="s">
        <v>380</v>
      </c>
      <c r="J45" s="96"/>
      <c r="K45" s="96"/>
      <c r="L45" s="72" t="s">
        <v>86</v>
      </c>
      <c r="M45" s="55"/>
      <c r="N45" s="55"/>
      <c r="O45" s="55"/>
      <c r="P45" s="72" t="s">
        <v>380</v>
      </c>
      <c r="Q45" s="98"/>
      <c r="R45" s="96"/>
      <c r="S45" s="72" t="s">
        <v>86</v>
      </c>
      <c r="T45" s="72"/>
      <c r="U45" s="55"/>
      <c r="V45" s="72"/>
      <c r="W45" s="72" t="s">
        <v>320</v>
      </c>
      <c r="X45" s="55"/>
      <c r="Y45" s="55"/>
      <c r="Z45" s="72"/>
      <c r="AA45" s="55"/>
      <c r="AB45" s="66"/>
      <c r="AC45" s="39"/>
      <c r="AD45" s="39"/>
      <c r="AE45" s="39"/>
      <c r="AF45" s="39"/>
      <c r="AG45" s="41"/>
      <c r="AH45" s="39"/>
      <c r="AI45" s="39"/>
      <c r="AJ45" s="39"/>
      <c r="AK45" s="39"/>
    </row>
    <row r="46" spans="1:37" ht="18.75" customHeight="1">
      <c r="A46" s="55"/>
      <c r="B46" s="55"/>
      <c r="C46" s="55"/>
      <c r="D46" s="55"/>
      <c r="E46" s="55"/>
      <c r="F46" s="55"/>
      <c r="G46" s="55"/>
      <c r="H46" s="72"/>
      <c r="I46" s="72" t="s">
        <v>302</v>
      </c>
      <c r="J46" s="96" t="s">
        <v>100</v>
      </c>
      <c r="K46" s="96">
        <v>1</v>
      </c>
      <c r="L46" s="72" t="s">
        <v>106</v>
      </c>
      <c r="M46" s="55"/>
      <c r="N46" s="55"/>
      <c r="O46" s="55"/>
      <c r="P46" s="72" t="s">
        <v>76</v>
      </c>
      <c r="Q46" s="98" t="s">
        <v>89</v>
      </c>
      <c r="R46" s="96">
        <v>1</v>
      </c>
      <c r="S46" s="72" t="s">
        <v>96</v>
      </c>
      <c r="T46" s="72"/>
      <c r="U46" s="55"/>
      <c r="V46" s="72"/>
      <c r="W46" s="72" t="s">
        <v>324</v>
      </c>
      <c r="X46" s="85" t="s">
        <v>638</v>
      </c>
      <c r="Y46" s="85">
        <f>$Y$33</f>
        <v>0</v>
      </c>
      <c r="Z46" s="72" t="s">
        <v>106</v>
      </c>
      <c r="AA46" s="55"/>
      <c r="AB46" s="66"/>
      <c r="AC46" s="39"/>
      <c r="AD46" s="39"/>
      <c r="AE46" s="39"/>
      <c r="AF46" s="39"/>
      <c r="AG46" s="41"/>
      <c r="AH46" s="39"/>
      <c r="AI46" s="39"/>
      <c r="AJ46" s="39"/>
      <c r="AK46" s="39"/>
    </row>
    <row r="47" spans="1:37" ht="18.75" customHeight="1">
      <c r="A47" s="55"/>
      <c r="B47" s="55"/>
      <c r="C47" s="55"/>
      <c r="D47" s="55"/>
      <c r="E47" s="55"/>
      <c r="F47" s="55"/>
      <c r="G47" s="55"/>
      <c r="H47" s="72"/>
      <c r="I47" s="72" t="s">
        <v>303</v>
      </c>
      <c r="J47" s="96" t="s">
        <v>108</v>
      </c>
      <c r="K47" s="96">
        <v>1</v>
      </c>
      <c r="L47" s="72" t="s">
        <v>106</v>
      </c>
      <c r="M47" s="55"/>
      <c r="N47" s="55"/>
      <c r="O47" s="55"/>
      <c r="P47" s="72" t="s">
        <v>283</v>
      </c>
      <c r="Q47" s="98" t="s">
        <v>91</v>
      </c>
      <c r="R47" s="96">
        <v>2</v>
      </c>
      <c r="S47" s="72" t="s">
        <v>97</v>
      </c>
      <c r="T47" s="72"/>
      <c r="U47" s="55"/>
      <c r="V47" s="72"/>
      <c r="W47" s="72" t="s">
        <v>325</v>
      </c>
      <c r="X47" s="85" t="s">
        <v>52</v>
      </c>
      <c r="Y47" s="85">
        <f>$Y$33</f>
        <v>0</v>
      </c>
      <c r="Z47" s="72" t="s">
        <v>106</v>
      </c>
      <c r="AA47" s="55"/>
      <c r="AB47" s="66"/>
      <c r="AC47" s="39"/>
      <c r="AD47" s="39"/>
      <c r="AE47" s="39"/>
      <c r="AF47" s="39"/>
      <c r="AG47" s="41"/>
      <c r="AH47" s="39"/>
      <c r="AI47" s="39"/>
      <c r="AJ47" s="39"/>
      <c r="AK47" s="39"/>
    </row>
    <row r="48" spans="1:37" ht="18.75" customHeight="1">
      <c r="A48" s="55"/>
      <c r="B48" s="55"/>
      <c r="C48" s="55"/>
      <c r="D48" s="55"/>
      <c r="E48" s="55"/>
      <c r="F48" s="55"/>
      <c r="G48" s="55"/>
      <c r="H48" s="72"/>
      <c r="I48" s="72" t="s">
        <v>304</v>
      </c>
      <c r="J48" s="96" t="s">
        <v>89</v>
      </c>
      <c r="K48" s="96">
        <v>1</v>
      </c>
      <c r="L48" s="72" t="s">
        <v>96</v>
      </c>
      <c r="M48" s="55"/>
      <c r="N48" s="55"/>
      <c r="O48" s="55"/>
      <c r="P48" s="55"/>
      <c r="Q48" s="162"/>
      <c r="R48" s="161"/>
      <c r="S48" s="72"/>
      <c r="T48" s="72"/>
      <c r="U48" s="55"/>
      <c r="V48" s="72"/>
      <c r="W48" s="72" t="s">
        <v>420</v>
      </c>
      <c r="X48" s="96"/>
      <c r="Y48" s="96"/>
      <c r="Z48" s="72" t="s">
        <v>86</v>
      </c>
      <c r="AA48" s="55"/>
      <c r="AB48" s="66"/>
      <c r="AC48" s="39"/>
      <c r="AD48" s="39"/>
      <c r="AE48" s="39"/>
      <c r="AF48" s="39"/>
      <c r="AG48" s="39"/>
      <c r="AH48" s="41"/>
      <c r="AI48" s="39"/>
      <c r="AJ48" s="39"/>
      <c r="AK48" s="39"/>
    </row>
    <row r="49" spans="1:37" ht="18.75" customHeight="1">
      <c r="A49" s="55"/>
      <c r="B49" s="55"/>
      <c r="C49" s="55"/>
      <c r="D49" s="55"/>
      <c r="E49" s="55"/>
      <c r="F49" s="55"/>
      <c r="G49" s="55"/>
      <c r="H49" s="72"/>
      <c r="I49" s="72" t="s">
        <v>306</v>
      </c>
      <c r="J49" s="96" t="s">
        <v>91</v>
      </c>
      <c r="K49" s="96">
        <v>2</v>
      </c>
      <c r="L49" s="72" t="s">
        <v>97</v>
      </c>
      <c r="M49" s="55"/>
      <c r="N49" s="55"/>
      <c r="O49" s="72" t="s">
        <v>188</v>
      </c>
      <c r="P49" s="72"/>
      <c r="Q49" s="55"/>
      <c r="R49" s="55"/>
      <c r="S49" s="72"/>
      <c r="T49" s="72"/>
      <c r="U49" s="55"/>
      <c r="V49" s="72"/>
      <c r="W49" s="72" t="s">
        <v>321</v>
      </c>
      <c r="X49" s="55"/>
      <c r="Y49" s="55"/>
      <c r="Z49" s="72"/>
      <c r="AA49" s="55"/>
      <c r="AB49" s="66"/>
      <c r="AC49" s="39"/>
      <c r="AD49" s="39"/>
      <c r="AE49" s="39"/>
      <c r="AF49" s="39"/>
      <c r="AG49" s="39"/>
      <c r="AH49" s="41"/>
      <c r="AI49" s="39"/>
      <c r="AJ49" s="39"/>
      <c r="AK49" s="39"/>
    </row>
    <row r="50" spans="1:37" ht="18.75" customHeight="1">
      <c r="A50" s="55"/>
      <c r="B50" s="55"/>
      <c r="C50" s="55"/>
      <c r="D50" s="55"/>
      <c r="E50" s="55"/>
      <c r="F50" s="55"/>
      <c r="G50" s="55"/>
      <c r="H50" s="55"/>
      <c r="I50" s="72" t="s">
        <v>402</v>
      </c>
      <c r="J50" s="96"/>
      <c r="K50" s="96"/>
      <c r="L50" s="72" t="s">
        <v>106</v>
      </c>
      <c r="M50" s="55"/>
      <c r="N50" s="55"/>
      <c r="O50" s="72"/>
      <c r="P50" s="72" t="s">
        <v>189</v>
      </c>
      <c r="Q50" s="97" t="s">
        <v>192</v>
      </c>
      <c r="R50" s="55"/>
      <c r="S50" s="55"/>
      <c r="T50" s="55"/>
      <c r="U50" s="55"/>
      <c r="V50" s="55"/>
      <c r="W50" s="72" t="s">
        <v>326</v>
      </c>
      <c r="X50" s="85" t="s">
        <v>640</v>
      </c>
      <c r="Y50" s="85">
        <f>$Y$36</f>
        <v>3</v>
      </c>
      <c r="Z50" s="72" t="s">
        <v>106</v>
      </c>
      <c r="AA50" s="55"/>
      <c r="AB50" s="66"/>
      <c r="AC50" s="39"/>
      <c r="AD50" s="39"/>
      <c r="AE50" s="39"/>
      <c r="AF50" s="39"/>
      <c r="AG50" s="39"/>
      <c r="AH50" s="41"/>
      <c r="AI50" s="39"/>
      <c r="AJ50" s="39"/>
      <c r="AK50" s="39"/>
    </row>
    <row r="51" spans="1:37" ht="19.5">
      <c r="A51" s="55"/>
      <c r="B51" s="55"/>
      <c r="C51" s="55"/>
      <c r="D51" s="55"/>
      <c r="E51" s="55"/>
      <c r="F51" s="55"/>
      <c r="G51" s="55"/>
      <c r="H51" s="55"/>
      <c r="I51" s="72" t="s">
        <v>403</v>
      </c>
      <c r="J51" s="96"/>
      <c r="K51" s="96"/>
      <c r="L51" s="72" t="s">
        <v>106</v>
      </c>
      <c r="M51" s="55"/>
      <c r="N51" s="55"/>
      <c r="O51" s="72"/>
      <c r="P51" s="72" t="s">
        <v>187</v>
      </c>
      <c r="Q51" s="97" t="s">
        <v>192</v>
      </c>
      <c r="R51" s="55"/>
      <c r="S51" s="55"/>
      <c r="T51" s="55"/>
      <c r="U51" s="55"/>
      <c r="V51" s="55"/>
      <c r="W51" s="72" t="s">
        <v>421</v>
      </c>
      <c r="X51" s="96"/>
      <c r="Y51" s="96"/>
      <c r="Z51" s="72" t="s">
        <v>86</v>
      </c>
      <c r="AA51" s="55"/>
      <c r="AB51" s="66"/>
      <c r="AC51" s="39"/>
      <c r="AD51" s="39"/>
      <c r="AE51" s="39"/>
      <c r="AF51" s="39"/>
      <c r="AG51" s="39"/>
      <c r="AH51" s="39"/>
      <c r="AI51" s="41"/>
      <c r="AJ51" s="39"/>
      <c r="AK51" s="39"/>
    </row>
    <row r="52" spans="1:37" ht="19.5">
      <c r="A52" s="55"/>
      <c r="B52" s="55"/>
      <c r="C52" s="55"/>
      <c r="D52" s="55"/>
      <c r="E52" s="55"/>
      <c r="F52" s="55"/>
      <c r="G52" s="55"/>
      <c r="H52" s="55"/>
      <c r="I52" s="72" t="s">
        <v>404</v>
      </c>
      <c r="J52" s="96"/>
      <c r="K52" s="96"/>
      <c r="L52" s="72" t="s">
        <v>96</v>
      </c>
      <c r="M52" s="55"/>
      <c r="N52" s="55"/>
      <c r="O52" s="55"/>
      <c r="P52" s="55"/>
      <c r="Q52" s="162"/>
      <c r="R52" s="161"/>
      <c r="S52" s="55"/>
      <c r="T52" s="55"/>
      <c r="U52" s="55"/>
      <c r="V52" s="55"/>
      <c r="W52" s="72" t="s">
        <v>322</v>
      </c>
      <c r="X52" s="55"/>
      <c r="Y52" s="55"/>
      <c r="Z52" s="72"/>
      <c r="AA52" s="55"/>
      <c r="AB52" s="66"/>
      <c r="AC52" s="39"/>
      <c r="AD52" s="39"/>
      <c r="AE52" s="39"/>
      <c r="AF52" s="39"/>
      <c r="AG52" s="39"/>
      <c r="AH52" s="39"/>
      <c r="AI52" s="41"/>
      <c r="AJ52" s="39"/>
      <c r="AK52" s="39"/>
    </row>
    <row r="53" spans="1:37" ht="19.5">
      <c r="A53" s="55"/>
      <c r="B53" s="55"/>
      <c r="C53" s="55"/>
      <c r="D53" s="55"/>
      <c r="E53" s="55"/>
      <c r="F53" s="55"/>
      <c r="G53" s="55"/>
      <c r="H53" s="55"/>
      <c r="I53" s="72" t="s">
        <v>405</v>
      </c>
      <c r="J53" s="96"/>
      <c r="K53" s="96"/>
      <c r="L53" s="72" t="s">
        <v>97</v>
      </c>
      <c r="M53" s="55"/>
      <c r="N53" s="55"/>
      <c r="O53" s="72" t="s">
        <v>578</v>
      </c>
      <c r="P53" s="55"/>
      <c r="Q53" s="55"/>
      <c r="R53" s="55"/>
      <c r="S53" s="55"/>
      <c r="T53" s="55"/>
      <c r="U53" s="55"/>
      <c r="V53" s="55"/>
      <c r="W53" s="72" t="s">
        <v>327</v>
      </c>
      <c r="X53" s="85" t="s">
        <v>639</v>
      </c>
      <c r="Y53" s="85">
        <f>$Y$38</f>
        <v>1</v>
      </c>
      <c r="Z53" s="72" t="s">
        <v>106</v>
      </c>
      <c r="AA53" s="55"/>
      <c r="AB53" s="66"/>
      <c r="AC53" s="39"/>
      <c r="AD53" s="39"/>
      <c r="AE53" s="39"/>
      <c r="AF53" s="39"/>
      <c r="AG53" s="39"/>
      <c r="AH53" s="39"/>
      <c r="AI53" s="41"/>
      <c r="AJ53" s="39"/>
      <c r="AK53" s="39"/>
    </row>
    <row r="54" spans="1:37" ht="19.5">
      <c r="A54" s="55"/>
      <c r="B54" s="55"/>
      <c r="C54" s="55"/>
      <c r="D54" s="55"/>
      <c r="E54" s="55"/>
      <c r="F54" s="55"/>
      <c r="G54" s="55"/>
      <c r="H54" s="55"/>
      <c r="I54" s="75" t="s">
        <v>603</v>
      </c>
      <c r="J54" s="55"/>
      <c r="K54" s="55"/>
      <c r="L54" s="55"/>
      <c r="M54" s="55"/>
      <c r="N54" s="55"/>
      <c r="O54" s="72"/>
      <c r="P54" s="72" t="s">
        <v>579</v>
      </c>
      <c r="Q54" s="161"/>
      <c r="R54" s="55"/>
      <c r="S54" s="55"/>
      <c r="T54" s="55"/>
      <c r="U54" s="55"/>
      <c r="V54" s="55"/>
      <c r="W54" s="72" t="s">
        <v>422</v>
      </c>
      <c r="X54" s="96" t="s">
        <v>560</v>
      </c>
      <c r="Y54" s="96">
        <v>500</v>
      </c>
      <c r="Z54" s="72" t="s">
        <v>86</v>
      </c>
      <c r="AA54" s="55"/>
      <c r="AB54" s="66"/>
      <c r="AC54" s="39"/>
      <c r="AD54" s="39"/>
      <c r="AE54" s="39"/>
      <c r="AF54" s="39"/>
      <c r="AG54" s="39"/>
      <c r="AH54" s="39"/>
      <c r="AI54" s="41"/>
      <c r="AJ54" s="39"/>
      <c r="AK54" s="39"/>
    </row>
    <row r="55" spans="1:37" ht="19.5">
      <c r="A55" s="55"/>
      <c r="B55" s="55"/>
      <c r="C55" s="55"/>
      <c r="D55" s="55"/>
      <c r="E55" s="55"/>
      <c r="F55" s="55"/>
      <c r="G55" s="55"/>
      <c r="H55" s="55"/>
      <c r="I55" s="55"/>
      <c r="J55" s="55"/>
      <c r="K55" s="55"/>
      <c r="L55" s="55"/>
      <c r="M55" s="55"/>
      <c r="N55" s="55"/>
      <c r="O55" s="55"/>
      <c r="P55" s="214" t="s">
        <v>598</v>
      </c>
      <c r="Q55" s="215"/>
      <c r="R55" s="55"/>
      <c r="S55" s="55"/>
      <c r="T55" s="55"/>
      <c r="U55" s="55"/>
      <c r="V55" s="55"/>
      <c r="W55" s="55"/>
      <c r="X55" s="55"/>
      <c r="Y55" s="55"/>
      <c r="Z55" s="55"/>
      <c r="AA55" s="55"/>
      <c r="AB55" s="66"/>
      <c r="AC55" s="39"/>
      <c r="AD55" s="39"/>
      <c r="AE55" s="39"/>
      <c r="AF55" s="39"/>
      <c r="AG55" s="39"/>
      <c r="AH55" s="39"/>
      <c r="AI55" s="41"/>
      <c r="AJ55" s="39"/>
      <c r="AK55" s="39"/>
    </row>
    <row r="56" spans="1:37" ht="19.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66"/>
      <c r="AC56" s="39"/>
      <c r="AD56" s="39"/>
      <c r="AE56" s="39"/>
      <c r="AF56" s="39"/>
      <c r="AG56" s="39"/>
      <c r="AH56" s="39"/>
      <c r="AI56" s="41"/>
      <c r="AJ56" s="39"/>
      <c r="AK56" s="39"/>
    </row>
    <row r="57" spans="1:37" ht="19.5">
      <c r="A57" s="39"/>
      <c r="B57" s="39" t="s">
        <v>357</v>
      </c>
      <c r="C57" s="39"/>
      <c r="D57" s="40"/>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41"/>
      <c r="AJ57" s="39"/>
      <c r="AK57" s="39"/>
    </row>
    <row r="58" spans="1:37" ht="19.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41"/>
      <c r="AJ58" s="39"/>
      <c r="AK58" s="39"/>
    </row>
    <row r="59" spans="1:37" ht="19.5">
      <c r="A59" s="39"/>
      <c r="B59" s="39"/>
      <c r="C59" s="39"/>
      <c r="D59" s="42" t="s">
        <v>355</v>
      </c>
      <c r="E59" s="39"/>
      <c r="F59" s="39"/>
      <c r="G59" s="39"/>
      <c r="H59" s="39"/>
      <c r="I59" s="42" t="s">
        <v>224</v>
      </c>
      <c r="J59" s="39"/>
      <c r="K59" s="39"/>
      <c r="L59" s="39"/>
      <c r="M59" s="39"/>
      <c r="N59" s="39"/>
      <c r="O59" s="39"/>
      <c r="P59" s="42" t="s">
        <v>225</v>
      </c>
      <c r="Q59" s="39"/>
      <c r="R59" s="39"/>
      <c r="S59" s="39"/>
      <c r="T59" s="39"/>
      <c r="U59" s="39"/>
      <c r="V59" s="39"/>
      <c r="W59" s="42" t="s">
        <v>337</v>
      </c>
      <c r="X59" s="39"/>
      <c r="Y59" s="39"/>
      <c r="Z59" s="39"/>
      <c r="AA59" s="39"/>
      <c r="AB59" s="42" t="s">
        <v>314</v>
      </c>
      <c r="AC59" s="39"/>
      <c r="AD59" s="39"/>
      <c r="AE59" s="39"/>
      <c r="AF59" s="39"/>
      <c r="AG59" s="39"/>
      <c r="AH59" s="52">
        <f>IF(AH62=1,AH70,IF(AH63=1,AH71,IF(AH64=1,AH72,IF(AH65=1,AH73,""))))</f>
        <v>2019.8859732041299</v>
      </c>
      <c r="AI59" s="41"/>
      <c r="AJ59" s="39"/>
      <c r="AK59" s="39"/>
    </row>
    <row r="60" spans="1:37" ht="19.5">
      <c r="A60" s="39"/>
      <c r="B60" s="39"/>
      <c r="C60" s="39"/>
      <c r="D60" s="39"/>
      <c r="E60" s="39" t="s">
        <v>74</v>
      </c>
      <c r="F60" s="39">
        <f>_xlfn.IFS($J$4=Choices!$B$26,1,$J$4=Choices!$B$27,2,$J$4=Choices!$B$28,3,$J$4=Choices!$B$29,4,TRUE,"")</f>
        <v>1</v>
      </c>
      <c r="G60" s="39"/>
      <c r="H60" s="39"/>
      <c r="I60" s="39" t="s">
        <v>119</v>
      </c>
      <c r="J60" s="43">
        <f>IF($J42="",0,VLOOKUP($J42,IC!$B$6:$E$14,4,FALSE)*$K42)</f>
        <v>6000000</v>
      </c>
      <c r="K60" s="39"/>
      <c r="L60" s="39"/>
      <c r="M60" s="39"/>
      <c r="N60" s="39"/>
      <c r="O60" s="39"/>
      <c r="P60" s="39"/>
      <c r="Q60" s="43"/>
      <c r="R60" s="39"/>
      <c r="S60" s="39"/>
      <c r="T60" s="39"/>
      <c r="U60" s="39"/>
      <c r="V60" s="39"/>
      <c r="W60" s="39" t="s">
        <v>323</v>
      </c>
      <c r="X60" s="43">
        <f>IF($X43="",0,VLOOKUP($X43,IC!$B$17:$E$23,4,FALSE))*$Y43</f>
        <v>12500000</v>
      </c>
      <c r="Y60" s="39"/>
      <c r="Z60" s="39"/>
      <c r="AA60" s="39"/>
      <c r="AB60" s="39"/>
      <c r="AC60" s="39" t="s">
        <v>254</v>
      </c>
      <c r="AD60" s="39"/>
      <c r="AE60" s="39"/>
      <c r="AF60" s="39"/>
      <c r="AG60" s="39"/>
      <c r="AH60" s="54" t="s">
        <v>251</v>
      </c>
      <c r="AI60" s="41"/>
      <c r="AJ60" s="39"/>
      <c r="AK60" s="39"/>
    </row>
    <row r="61" spans="1:37" ht="19.5">
      <c r="A61" s="39"/>
      <c r="B61" s="39"/>
      <c r="C61" s="39"/>
      <c r="D61" s="39"/>
      <c r="E61" s="39" t="s">
        <v>263</v>
      </c>
      <c r="F61" s="39">
        <f>IF($F$60=1,_xlfn.IFS(AND($E$27=Choices!$B$8,$J$27=Choices!$B$8),1,AND($E$27=Choices!$B$8,$J$27=Choices!$B$9),2,AND($E$27=Choices!$B$9,$J$27=Choices!$B$8),3,AND($E$27=Choices!$B$9,$J$27=Choices!$B$9),4,TRUE,""),"")</f>
        <v>4</v>
      </c>
      <c r="G61" s="39"/>
      <c r="H61" s="39"/>
      <c r="I61" s="39" t="s">
        <v>120</v>
      </c>
      <c r="J61" s="43">
        <f>IF($J43="",0,VLOOKUP($J43,IC!$B$6:$E$14,4,FALSE)*$K43)</f>
        <v>14000000</v>
      </c>
      <c r="K61" s="39"/>
      <c r="L61" s="39"/>
      <c r="M61" s="39"/>
      <c r="N61" s="39"/>
      <c r="O61" s="39"/>
      <c r="P61" s="39" t="s">
        <v>120</v>
      </c>
      <c r="Q61" s="43">
        <f>IF($Q43="",0,VLOOKUP($Q43,IC!$B$6:$E$14,4,FALSE)*$R43)</f>
        <v>56000000</v>
      </c>
      <c r="R61" s="39"/>
      <c r="S61" s="39"/>
      <c r="T61" s="39"/>
      <c r="U61" s="39"/>
      <c r="V61" s="39"/>
      <c r="W61" s="39" t="s">
        <v>419</v>
      </c>
      <c r="X61" s="43">
        <f>IF($X44="",0,VLOOKUP($X44,IC!$B$7:$E$14,4,FALSE))*Y44</f>
        <v>0</v>
      </c>
      <c r="Y61" s="39"/>
      <c r="Z61" s="39"/>
      <c r="AA61" s="39"/>
      <c r="AB61" s="39"/>
      <c r="AC61" s="44"/>
      <c r="AD61" s="45" t="s">
        <v>171</v>
      </c>
      <c r="AE61" s="45" t="s">
        <v>599</v>
      </c>
      <c r="AF61" s="45" t="s">
        <v>600</v>
      </c>
      <c r="AG61" s="44" t="s">
        <v>339</v>
      </c>
      <c r="AH61" s="44" t="s">
        <v>222</v>
      </c>
      <c r="AI61" s="41"/>
      <c r="AJ61" s="39"/>
      <c r="AK61" s="39"/>
    </row>
    <row r="62" spans="1:37" ht="19.5">
      <c r="A62" s="39"/>
      <c r="B62" s="39"/>
      <c r="C62" s="39"/>
      <c r="D62" s="39"/>
      <c r="E62" s="39" t="s">
        <v>577</v>
      </c>
      <c r="F62" s="39" t="str">
        <f>IF(OR(AND($F$60=2,$F$67=1),$F$60=3),_xlfn.IFS(AND($E$27=Choices!$B$8,$Q$27=Choices!$B$8),1,AND($E$27=Choices!$B$8,$Q$27=Choices!$B$9),2,AND($E$27=Choices!$B$9,$Q$27=Choices!$B$8),3,AND($E$27=Choices!$B$9,$Q$27=Choices!$B$9),4,TRUE,""),"")</f>
        <v/>
      </c>
      <c r="G62" s="39"/>
      <c r="H62" s="39"/>
      <c r="I62" s="39" t="s">
        <v>121</v>
      </c>
      <c r="J62" s="43">
        <f>IF($J44="",0,VLOOKUP($J44,IC!$B$6:$E$14,4,FALSE)*$K44)</f>
        <v>10000000</v>
      </c>
      <c r="K62" s="39"/>
      <c r="L62" s="39"/>
      <c r="M62" s="39"/>
      <c r="N62" s="39"/>
      <c r="O62" s="39"/>
      <c r="P62" s="39" t="s">
        <v>121</v>
      </c>
      <c r="Q62" s="43">
        <f>IF($Q44="",0,VLOOKUP($Q44,IC!$B$6:$E$14,4,FALSE)*$R44)</f>
        <v>0</v>
      </c>
      <c r="R62" s="39"/>
      <c r="S62" s="39"/>
      <c r="T62" s="39"/>
      <c r="U62" s="39"/>
      <c r="V62" s="39"/>
      <c r="W62" s="39"/>
      <c r="X62" s="39"/>
      <c r="Y62" s="39"/>
      <c r="Z62" s="39"/>
      <c r="AA62" s="39"/>
      <c r="AB62" s="39"/>
      <c r="AC62" s="45" t="s">
        <v>172</v>
      </c>
      <c r="AD62" s="71" t="str">
        <f>IF(AND($J$4=Choices!$B$26,$J$23=Choices!$B$2,$J$24&gt;=20000),1,"")</f>
        <v/>
      </c>
      <c r="AE62" s="71" t="str">
        <f>IF(AND($J$4=Choices!$B$27,$Q$23=Choices!$B$2,$Q$24&gt;=20000),1,"")</f>
        <v/>
      </c>
      <c r="AF62" s="71" t="str">
        <f>IF(AND($J$4=Choices!$B$28,$Q$23=Choices!$B$2,$Q$24&gt;=20000),1,"")</f>
        <v/>
      </c>
      <c r="AG62" s="116"/>
      <c r="AH62" s="71" t="str">
        <f>IF(AND($E$23=Choices!$B$2,$E$24&gt;=20000),1,"")</f>
        <v/>
      </c>
      <c r="AI62" s="41"/>
      <c r="AJ62" s="39"/>
      <c r="AK62" s="39"/>
    </row>
    <row r="63" spans="1:37" ht="19.5">
      <c r="A63" s="39"/>
      <c r="B63" s="39"/>
      <c r="C63" s="39"/>
      <c r="D63" s="39"/>
      <c r="E63" s="39" t="s">
        <v>637</v>
      </c>
      <c r="F63" s="39" t="str">
        <f>IF(OR($Q$23=Choices!$B$2,$Q$23=Choices!$B$3),_xlfn.IFS($F$60=2,1,$F$60=3,2,TRUE,""),"")</f>
        <v/>
      </c>
      <c r="G63" s="39"/>
      <c r="H63" s="39"/>
      <c r="I63" s="39" t="s">
        <v>122</v>
      </c>
      <c r="J63" s="43">
        <f>IF($J45="",0,VLOOKUP($J45,IC!$B$6:$E$14,4,FALSE)*$K45)</f>
        <v>0</v>
      </c>
      <c r="K63" s="39"/>
      <c r="L63" s="39"/>
      <c r="M63" s="39"/>
      <c r="N63" s="39"/>
      <c r="O63" s="39"/>
      <c r="P63" s="39" t="s">
        <v>122</v>
      </c>
      <c r="Q63" s="43">
        <f>IF($Q45="",0,VLOOKUP($Q45,IC!$B$6:$E$14,4,FALSE)*$R45)</f>
        <v>0</v>
      </c>
      <c r="R63" s="39"/>
      <c r="S63" s="39"/>
      <c r="T63" s="39"/>
      <c r="U63" s="39"/>
      <c r="V63" s="39"/>
      <c r="W63" s="39" t="s">
        <v>324</v>
      </c>
      <c r="X63" s="43">
        <f>IF($X46="",0,VLOOKUP($X46,IC!$B$17:$E$23,4,FALSE))*$Y46</f>
        <v>0</v>
      </c>
      <c r="Y63" s="39"/>
      <c r="Z63" s="39"/>
      <c r="AA63" s="39"/>
      <c r="AB63" s="39"/>
      <c r="AC63" s="45" t="s">
        <v>173</v>
      </c>
      <c r="AD63" s="71" t="str">
        <f>IF(AND($J$4=Choices!$B$26,$J$23=Choices!$B$2,$J$24&lt;20000),1,"")</f>
        <v/>
      </c>
      <c r="AE63" s="71" t="str">
        <f>IF(AND($J$4=Choices!$B$27,$Q$23=Choices!$B$2,$Q$24&lt;20000),1,"")</f>
        <v/>
      </c>
      <c r="AF63" s="71" t="str">
        <f>IF(AND($J$4=Choices!$B$28,$Q$23=Choices!$B$2,$Q$24&lt;20000),1,"")</f>
        <v/>
      </c>
      <c r="AG63" s="116"/>
      <c r="AH63" s="71" t="str">
        <f>IF(AND($E$23=Choices!$B$2,$E$24&lt;20000),1,"")</f>
        <v/>
      </c>
      <c r="AI63" s="41"/>
      <c r="AJ63" s="39"/>
      <c r="AK63" s="39"/>
    </row>
    <row r="64" spans="1:37" ht="19.5">
      <c r="A64" s="39"/>
      <c r="B64" s="39"/>
      <c r="C64" s="39"/>
      <c r="D64" s="39"/>
      <c r="E64" s="39" t="s">
        <v>265</v>
      </c>
      <c r="F64" s="39" t="str">
        <f>_xlfn.IFS($Q$50=Choices!$B$36,1,$Q$51=Choices!$B$36,1,TRUE,"")</f>
        <v/>
      </c>
      <c r="G64" s="39"/>
      <c r="H64" s="39"/>
      <c r="I64" s="39" t="s">
        <v>302</v>
      </c>
      <c r="J64" s="43">
        <f>IF($J46="",0,VLOOKUP($J46,IC!$B$17:$E$23,4,FALSE))*$K46</f>
        <v>2650000</v>
      </c>
      <c r="K64" s="39"/>
      <c r="L64" s="39"/>
      <c r="M64" s="39"/>
      <c r="N64" s="39"/>
      <c r="O64" s="39"/>
      <c r="P64" s="39" t="s">
        <v>94</v>
      </c>
      <c r="Q64" s="43">
        <f>IF($Q46="",0,VLOOKUP($Q46,IC!$B$35:$E$37,4,FALSE))*$R46</f>
        <v>2200000</v>
      </c>
      <c r="R64" s="39"/>
      <c r="S64" s="39"/>
      <c r="T64" s="39"/>
      <c r="U64" s="39"/>
      <c r="V64" s="39"/>
      <c r="W64" s="39" t="s">
        <v>325</v>
      </c>
      <c r="X64" s="117">
        <f>IF($X47="",0,VLOOKUP($X47,IC!$B$26:$E$31,4,FALSE))*Y47</f>
        <v>0</v>
      </c>
      <c r="Y64" s="39"/>
      <c r="Z64" s="39"/>
      <c r="AA64" s="39"/>
      <c r="AB64" s="39"/>
      <c r="AC64" s="45" t="s">
        <v>174</v>
      </c>
      <c r="AD64" s="71" t="str">
        <f>IF(AND($J$4=Choices!$B$26,$J$23=Choices!$B$3),1,"")</f>
        <v/>
      </c>
      <c r="AE64" s="71" t="str">
        <f>IF(AND($J$4=Choices!$B$27,$Q$23=Choices!$B$3),1,"")</f>
        <v/>
      </c>
      <c r="AF64" s="71" t="str">
        <f>IF(AND($J$4=Choices!$B$28,$Q$23=Choices!$B$3),1,"")</f>
        <v/>
      </c>
      <c r="AG64" s="116"/>
      <c r="AH64" s="71" t="str">
        <f>IF($E$23=Choices!$B$3,1,"")</f>
        <v/>
      </c>
      <c r="AI64" s="41"/>
      <c r="AJ64" s="39"/>
      <c r="AK64" s="39"/>
    </row>
    <row r="65" spans="1:37" ht="19.5">
      <c r="A65" s="39"/>
      <c r="B65" s="39"/>
      <c r="C65" s="39"/>
      <c r="D65" s="39"/>
      <c r="E65" s="39" t="s">
        <v>264</v>
      </c>
      <c r="F65" s="39">
        <f>IF($J$4=Choices!$B$26,IF(OR($J$23=Choices!$B$4,$J$23=Choices!$B$6),1,IF(AND($J$23=Choices!$B$5,$J$27=Choices!$B$9),1,"")),"")</f>
        <v>1</v>
      </c>
      <c r="G65" s="39"/>
      <c r="H65" s="39"/>
      <c r="I65" s="39" t="s">
        <v>303</v>
      </c>
      <c r="J65" s="43">
        <f>IF($J47="",0,VLOOKUP($J47,IC!$B$26:$E$31,4,FALSE))*$K47</f>
        <v>1630000</v>
      </c>
      <c r="K65" s="39"/>
      <c r="L65" s="39"/>
      <c r="M65" s="39"/>
      <c r="N65" s="39"/>
      <c r="O65" s="39"/>
      <c r="P65" s="39" t="s">
        <v>93</v>
      </c>
      <c r="Q65" s="43">
        <f>IF($Q47="",0,VLOOKUP($Q47,IC!$B$40:$E$42,4,FALSE))*$R47</f>
        <v>8400000</v>
      </c>
      <c r="R65" s="39"/>
      <c r="S65" s="39"/>
      <c r="T65" s="39"/>
      <c r="U65" s="39"/>
      <c r="V65" s="39"/>
      <c r="W65" s="39" t="s">
        <v>420</v>
      </c>
      <c r="X65" s="43">
        <f>IF($X48="",0,VLOOKUP($X48,IC!$B$7:$E$14,4,FALSE))*Y48</f>
        <v>0</v>
      </c>
      <c r="Y65" s="39"/>
      <c r="Z65" s="39"/>
      <c r="AA65" s="39"/>
      <c r="AB65" s="39"/>
      <c r="AC65" s="45" t="s">
        <v>390</v>
      </c>
      <c r="AD65" s="71">
        <f>IF($J$4=Choices!$B$26,IF(OR($J$23=Choices!$B$4,$J$23=Choices!$B$6),1,IF(AND($J$23=Choices!$B$5,$J$27=Choices!$B$9),1,"")),"")</f>
        <v>1</v>
      </c>
      <c r="AE65" s="71" t="str">
        <f>IF($J$4=Choices!$B$27,IF(OR($Q$23=Choices!$B$4,$Q$23=Choices!$B$6),1,IF(AND($Q$23=Choices!$B$5,$Q$27=Choices!$B$9),1,"")),"")</f>
        <v/>
      </c>
      <c r="AF65" s="71" t="str">
        <f>IF($J$4=Choices!$B$28,IF(OR($Q$23=Choices!$B$4,$Q$23=Choices!$B$6),1,IF(AND($Q$23=Choices!$B$5,$Q$27=Choices!$B$9),1,"")),"")</f>
        <v/>
      </c>
      <c r="AG65" s="116"/>
      <c r="AH65" s="71">
        <f>IF(OR($E$23=Choices!$B$4,$E$23=Choices!$B$6),1,IF(AND($E$23=Choices!$B$5,$E$27=Choices!$B$9),1,""))</f>
        <v>1</v>
      </c>
      <c r="AI65" s="41"/>
      <c r="AJ65" s="39"/>
      <c r="AK65" s="39"/>
    </row>
    <row r="66" spans="1:37">
      <c r="A66" s="39"/>
      <c r="B66" s="39"/>
      <c r="C66" s="39"/>
      <c r="D66" s="39"/>
      <c r="E66" s="39" t="s">
        <v>588</v>
      </c>
      <c r="F66" s="39" t="str">
        <f>_xlfn.IFS($AD$66=1,1,$AE$66=1,1,$AF$66=1,1,TRUE,"")</f>
        <v/>
      </c>
      <c r="G66" s="39"/>
      <c r="H66" s="39"/>
      <c r="I66" s="39" t="s">
        <v>304</v>
      </c>
      <c r="J66" s="43">
        <f>IF($J48="",0,VLOOKUP($J48,IC!$B$35:$E$37,4,FALSE))*$K48</f>
        <v>2200000</v>
      </c>
      <c r="K66" s="39"/>
      <c r="L66" s="39"/>
      <c r="M66" s="39"/>
      <c r="N66" s="39"/>
      <c r="O66" s="39"/>
      <c r="P66" s="39"/>
      <c r="Q66" s="39"/>
      <c r="R66" s="39"/>
      <c r="S66" s="39"/>
      <c r="T66" s="39"/>
      <c r="U66" s="39"/>
      <c r="V66" s="39"/>
      <c r="W66" s="39"/>
      <c r="X66" s="39"/>
      <c r="Y66" s="39"/>
      <c r="Z66" s="39"/>
      <c r="AA66" s="39"/>
      <c r="AB66" s="39"/>
      <c r="AC66" s="45" t="s">
        <v>601</v>
      </c>
      <c r="AD66" s="71" t="str">
        <f>IF(AND($J$4=Choices!$B$26,$J$23=Choices!$B$5,$J$27=Choices!$B$8),1,"")</f>
        <v/>
      </c>
      <c r="AE66" s="71" t="str">
        <f>IF(AND($J$4=Choices!$B$27,$Q$23=Choices!$B$5,$Q$27=Choices!$B$8),1,"")</f>
        <v/>
      </c>
      <c r="AF66" s="71" t="str">
        <f>IF(AND($J$4=Choices!$B$28,$Q$23=Choices!$B$5,$Q$27=Choices!$B$8),1,"")</f>
        <v/>
      </c>
      <c r="AG66" s="116"/>
      <c r="AH66" s="71" t="str">
        <f>IF(AND($E$23=Choices!$B$5,$E$27=Choices!$B$8),1,"")</f>
        <v/>
      </c>
      <c r="AI66" s="39"/>
      <c r="AJ66" s="39"/>
      <c r="AK66" s="39"/>
    </row>
    <row r="67" spans="1:37">
      <c r="A67" s="39"/>
      <c r="B67" s="39"/>
      <c r="C67" s="39"/>
      <c r="D67" s="39"/>
      <c r="E67" s="39" t="s">
        <v>636</v>
      </c>
      <c r="F67" s="39" t="str">
        <f>IF($F$60=2,_xlfn.IFS($P$55=Choices!$B$42,2,$P$55=Choices!$B$41,1,TRUE,""),"")</f>
        <v/>
      </c>
      <c r="G67" s="39"/>
      <c r="H67" s="39"/>
      <c r="I67" s="39" t="s">
        <v>305</v>
      </c>
      <c r="J67" s="43">
        <f>IF($J49="",0,VLOOKUP($J49,IC!$B$40:$E$42,4,FALSE))*$K49</f>
        <v>8400000</v>
      </c>
      <c r="K67" s="39"/>
      <c r="L67" s="39"/>
      <c r="M67" s="39"/>
      <c r="N67" s="39"/>
      <c r="O67" s="39"/>
      <c r="P67" s="39"/>
      <c r="Q67" s="39"/>
      <c r="R67" s="39"/>
      <c r="S67" s="39"/>
      <c r="T67" s="39"/>
      <c r="U67" s="39"/>
      <c r="V67" s="39"/>
      <c r="W67" s="39" t="s">
        <v>326</v>
      </c>
      <c r="X67" s="43">
        <f>IF($X50="",0,VLOOKUP($X50,IC!$B$17:$E$23,4,FALSE))*$Y50</f>
        <v>18750000</v>
      </c>
      <c r="Y67" s="39"/>
      <c r="Z67" s="39"/>
      <c r="AA67" s="39"/>
      <c r="AB67" s="39"/>
      <c r="AC67" s="44" t="s">
        <v>338</v>
      </c>
      <c r="AD67" s="116"/>
      <c r="AE67" s="116"/>
      <c r="AF67" s="116"/>
      <c r="AG67" s="71" t="str">
        <f>IF($J$4=Choices!$B$29,1,"")</f>
        <v/>
      </c>
      <c r="AH67" s="116"/>
      <c r="AI67" s="39"/>
      <c r="AJ67" s="39"/>
      <c r="AK67" s="39"/>
    </row>
    <row r="68" spans="1:37" ht="19.5">
      <c r="A68" s="39"/>
      <c r="B68" s="39"/>
      <c r="C68" s="39"/>
      <c r="D68" s="39"/>
      <c r="E68" s="39" t="s">
        <v>255</v>
      </c>
      <c r="F68" s="39">
        <f>_xlfn.IFS($J30=Choices!$B$11,1,$J30=Choices!$B$12,2,$J30=Choices!$B$13,3,$J30=Choices!$B$14,4,$J30=Choices!$B$15,5,$J30=Choices!$B$16,6,$J30=Choices!$B$17,7,TRUE,"")</f>
        <v>1</v>
      </c>
      <c r="G68" s="39"/>
      <c r="H68" s="39"/>
      <c r="I68" s="39" t="s">
        <v>307</v>
      </c>
      <c r="J68" s="43">
        <f>IF($J50="",0,VLOOKUP($J50,IC!$B$17:$E$23,4,FALSE))*$K50</f>
        <v>0</v>
      </c>
      <c r="K68" s="39"/>
      <c r="L68" s="39"/>
      <c r="M68" s="39"/>
      <c r="N68" s="39"/>
      <c r="O68" s="39"/>
      <c r="P68" s="39"/>
      <c r="Q68" s="39"/>
      <c r="R68" s="39"/>
      <c r="S68" s="39"/>
      <c r="T68" s="39"/>
      <c r="U68" s="39"/>
      <c r="V68" s="39"/>
      <c r="W68" s="39" t="s">
        <v>421</v>
      </c>
      <c r="X68" s="43">
        <f>IF($X51="",0,VLOOKUP($X51,IC!$B$7:$E$14,4,FALSE))*Y51</f>
        <v>0</v>
      </c>
      <c r="Y68" s="39"/>
      <c r="Z68" s="39"/>
      <c r="AA68" s="39"/>
      <c r="AB68" s="42" t="s">
        <v>359</v>
      </c>
      <c r="AC68" s="39"/>
      <c r="AD68" s="39"/>
      <c r="AE68" s="39"/>
      <c r="AF68" s="39"/>
      <c r="AG68" s="41"/>
      <c r="AH68" s="39"/>
      <c r="AI68" s="39"/>
      <c r="AJ68" s="39"/>
      <c r="AK68" s="39"/>
    </row>
    <row r="69" spans="1:37">
      <c r="A69" s="39"/>
      <c r="B69" s="39"/>
      <c r="C69" s="39"/>
      <c r="D69" s="39"/>
      <c r="E69" s="39" t="s">
        <v>256</v>
      </c>
      <c r="F69" s="39" t="str">
        <f>_xlfn.IFS($J31=Choices!$B$11,1,$J31=Choices!$B$12,2,$J31=Choices!$B$13,3,$J31=Choices!$B$14,4,$J31=Choices!$B$15,5,$J31=Choices!$B$16,6,$J31=Choices!$B$17,7,TRUE,"")</f>
        <v/>
      </c>
      <c r="G69" s="39"/>
      <c r="H69" s="39"/>
      <c r="I69" s="39" t="s">
        <v>308</v>
      </c>
      <c r="J69" s="43">
        <f>IF($J51="",0,VLOOKUP($J51,IC!$B$26:$E$31,4,FALSE))*$K51</f>
        <v>0</v>
      </c>
      <c r="K69" s="39"/>
      <c r="L69" s="39"/>
      <c r="M69" s="39"/>
      <c r="N69" s="39"/>
      <c r="O69" s="39"/>
      <c r="P69" s="39"/>
      <c r="Q69" s="46"/>
      <c r="R69" s="39"/>
      <c r="S69" s="39"/>
      <c r="T69" s="39"/>
      <c r="U69" s="39"/>
      <c r="V69" s="39"/>
      <c r="W69" s="39"/>
      <c r="X69" s="39"/>
      <c r="Y69" s="39"/>
      <c r="Z69" s="39"/>
      <c r="AA69" s="39"/>
      <c r="AB69" s="39"/>
      <c r="AC69" s="45"/>
      <c r="AD69" s="45" t="s">
        <v>171</v>
      </c>
      <c r="AE69" s="45" t="s">
        <v>599</v>
      </c>
      <c r="AF69" s="45" t="s">
        <v>600</v>
      </c>
      <c r="AG69" s="44" t="s">
        <v>339</v>
      </c>
      <c r="AH69" s="44" t="s">
        <v>222</v>
      </c>
      <c r="AI69" s="39"/>
      <c r="AJ69" s="39"/>
      <c r="AK69" s="39"/>
    </row>
    <row r="70" spans="1:37">
      <c r="A70" s="39"/>
      <c r="B70" s="39"/>
      <c r="C70" s="39"/>
      <c r="D70" s="39"/>
      <c r="E70" s="39" t="s">
        <v>257</v>
      </c>
      <c r="F70" s="39" t="str">
        <f>_xlfn.IFS($J32=Choices!$B$11,1,$J32=Choices!$B$12,2,$J32=Choices!$B$13,3,$J32=Choices!$B$14,4,$J32=Choices!$B$15,5,$J32=Choices!$B$16,6,$J32=Choices!$B$17,7,TRUE,"")</f>
        <v/>
      </c>
      <c r="G70" s="39"/>
      <c r="H70" s="39"/>
      <c r="I70" s="39" t="s">
        <v>309</v>
      </c>
      <c r="J70" s="43">
        <f>IF($J52="",0,VLOOKUP($J52,IC!$B$35:$E$37,4,FALSE))*$K52</f>
        <v>0</v>
      </c>
      <c r="K70" s="39"/>
      <c r="L70" s="39"/>
      <c r="M70" s="39"/>
      <c r="N70" s="39"/>
      <c r="O70" s="39"/>
      <c r="P70" s="39"/>
      <c r="Q70" s="39"/>
      <c r="R70" s="39"/>
      <c r="S70" s="39"/>
      <c r="T70" s="39"/>
      <c r="U70" s="39"/>
      <c r="V70" s="39"/>
      <c r="W70" s="39" t="s">
        <v>327</v>
      </c>
      <c r="X70" s="43">
        <f>IF($X53="",0,VLOOKUP($X53,IC!$B$17:$E$23,4,FALSE))*$Y53</f>
        <v>14600000</v>
      </c>
      <c r="Y70" s="39"/>
      <c r="Z70" s="39"/>
      <c r="AA70" s="39"/>
      <c r="AB70" s="39"/>
      <c r="AC70" s="45" t="s">
        <v>172</v>
      </c>
      <c r="AD70" s="47">
        <f>AD$84</f>
        <v>183852.90745855751</v>
      </c>
      <c r="AE70" s="47">
        <f>AE$84</f>
        <v>187225.46570089995</v>
      </c>
      <c r="AF70" s="47">
        <f>AF$84</f>
        <v>187225.46570089995</v>
      </c>
      <c r="AG70" s="116"/>
      <c r="AH70" s="47">
        <f t="shared" ref="AH70" si="0">AH$84</f>
        <v>183852.90745855751</v>
      </c>
      <c r="AI70" s="39"/>
      <c r="AJ70" s="39"/>
      <c r="AK70" s="39"/>
    </row>
    <row r="71" spans="1:37" ht="19.5" thickBot="1">
      <c r="A71" s="39"/>
      <c r="B71" s="39"/>
      <c r="C71" s="39"/>
      <c r="D71" s="39"/>
      <c r="E71" s="39" t="s">
        <v>258</v>
      </c>
      <c r="F71" s="39" t="str">
        <f>_xlfn.IFS($J33=Choices!$B$11,1,$J33=Choices!$B$12,2,$J33=Choices!$B$13,3,$J33=Choices!$B$14,4,$J33=Choices!$B$15,5,$J33=Choices!$B$16,6,$J33=Choices!$B$17,7,TRUE,"")</f>
        <v/>
      </c>
      <c r="G71" s="39"/>
      <c r="H71" s="39"/>
      <c r="I71" s="39" t="s">
        <v>310</v>
      </c>
      <c r="J71" s="43">
        <f>IF($J53="",0,VLOOKUP($J53,IC!$B$40:$E$42,4,FALSE))*$K53</f>
        <v>0</v>
      </c>
      <c r="K71" s="39"/>
      <c r="L71" s="39"/>
      <c r="M71" s="39"/>
      <c r="N71" s="39"/>
      <c r="O71" s="39"/>
      <c r="P71" s="39"/>
      <c r="Q71" s="39"/>
      <c r="R71" s="39"/>
      <c r="S71" s="39"/>
      <c r="T71" s="39"/>
      <c r="U71" s="39"/>
      <c r="V71" s="39"/>
      <c r="W71" s="39" t="s">
        <v>422</v>
      </c>
      <c r="X71" s="43">
        <f>IF($X54="",0,VLOOKUP($X54,IC!$B$7:$E$14,4,FALSE))*Y54</f>
        <v>5000000</v>
      </c>
      <c r="Y71" s="39"/>
      <c r="Z71" s="39"/>
      <c r="AA71" s="39"/>
      <c r="AB71" s="39"/>
      <c r="AC71" s="45" t="s">
        <v>173</v>
      </c>
      <c r="AD71" s="47">
        <f>AD$92</f>
        <v>20884.388054453899</v>
      </c>
      <c r="AE71" s="47">
        <f>AE$92</f>
        <v>25990.064204393493</v>
      </c>
      <c r="AF71" s="47">
        <f>AF$92</f>
        <v>25990.064204393493</v>
      </c>
      <c r="AG71" s="116"/>
      <c r="AH71" s="47">
        <f>AH$92</f>
        <v>20884.388054453899</v>
      </c>
      <c r="AI71" s="39"/>
      <c r="AJ71" s="39"/>
      <c r="AK71" s="39"/>
    </row>
    <row r="72" spans="1:37" ht="19.5" thickBot="1">
      <c r="A72" s="39"/>
      <c r="B72" s="39"/>
      <c r="C72" s="39"/>
      <c r="D72" s="39"/>
      <c r="E72" s="39" t="s">
        <v>259</v>
      </c>
      <c r="F72" s="39" t="str">
        <f>_xlfn.IFS($J34=Choices!$B$19,1,$J34=Choices!$B$20,2,$J34=Choices!$B$21,3,$J34=Choices!$B$22,4,$J34=Choices!$B$23,5,TRUE,"")</f>
        <v/>
      </c>
      <c r="G72" s="39"/>
      <c r="H72" s="39"/>
      <c r="I72" s="39" t="s">
        <v>176</v>
      </c>
      <c r="J72" s="48">
        <f>SUM(J60:J71)</f>
        <v>44880000</v>
      </c>
      <c r="K72" s="39" t="s">
        <v>87</v>
      </c>
      <c r="L72" s="39"/>
      <c r="M72" s="39"/>
      <c r="N72" s="39"/>
      <c r="O72" s="39"/>
      <c r="P72" s="39" t="s">
        <v>176</v>
      </c>
      <c r="Q72" s="48">
        <f>SUM(Q60:Q69)</f>
        <v>66600000</v>
      </c>
      <c r="R72" s="39" t="s">
        <v>87</v>
      </c>
      <c r="S72" s="39"/>
      <c r="T72" s="39"/>
      <c r="U72" s="39"/>
      <c r="V72" s="39"/>
      <c r="W72" s="39" t="s">
        <v>176</v>
      </c>
      <c r="X72" s="48">
        <f>SUM(X60:X71)</f>
        <v>50850000</v>
      </c>
      <c r="Y72" s="39" t="s">
        <v>87</v>
      </c>
      <c r="Z72" s="39"/>
      <c r="AA72" s="39"/>
      <c r="AB72" s="39"/>
      <c r="AC72" s="45" t="s">
        <v>174</v>
      </c>
      <c r="AD72" s="47">
        <f>AD$87</f>
        <v>17835.040608240197</v>
      </c>
      <c r="AE72" s="47">
        <f>AE$87</f>
        <v>36382.654631738886</v>
      </c>
      <c r="AF72" s="47">
        <f>AF$87</f>
        <v>38959.780029550311</v>
      </c>
      <c r="AG72" s="116"/>
      <c r="AH72" s="47">
        <f>AH$87</f>
        <v>17835.040608240197</v>
      </c>
      <c r="AI72" s="39"/>
      <c r="AJ72" s="39"/>
      <c r="AK72" s="39"/>
    </row>
    <row r="73" spans="1:37" ht="19.5" thickBot="1">
      <c r="A73" s="39"/>
      <c r="B73" s="39"/>
      <c r="C73" s="39"/>
      <c r="D73" s="39"/>
      <c r="E73" s="39" t="s">
        <v>260</v>
      </c>
      <c r="F73" s="39" t="str">
        <f>_xlfn.IFS($J35=Choices!$B$19,1,$J35=Choices!$B$20,2,$J35=Choices!$B$21,3,$J35=Choices!$B$22,4,$J35=Choices!$B$23,5,TRUE,"")</f>
        <v/>
      </c>
      <c r="G73" s="39"/>
      <c r="H73" s="39"/>
      <c r="I73" s="39" t="s">
        <v>176</v>
      </c>
      <c r="J73" s="48">
        <f>J$72/1000</f>
        <v>44880</v>
      </c>
      <c r="K73" s="39" t="s">
        <v>181</v>
      </c>
      <c r="L73" s="39"/>
      <c r="M73" s="39"/>
      <c r="N73" s="39"/>
      <c r="O73" s="39"/>
      <c r="P73" s="39" t="s">
        <v>176</v>
      </c>
      <c r="Q73" s="48">
        <f>Q$72/1000</f>
        <v>66600</v>
      </c>
      <c r="R73" s="39" t="s">
        <v>181</v>
      </c>
      <c r="S73" s="39"/>
      <c r="T73" s="39"/>
      <c r="U73" s="39"/>
      <c r="V73" s="39"/>
      <c r="W73" s="39" t="s">
        <v>176</v>
      </c>
      <c r="X73" s="48">
        <f>X$72/1000</f>
        <v>50850</v>
      </c>
      <c r="Y73" s="39" t="s">
        <v>181</v>
      </c>
      <c r="Z73" s="39"/>
      <c r="AA73" s="39"/>
      <c r="AB73" s="39"/>
      <c r="AC73" s="45" t="s">
        <v>390</v>
      </c>
      <c r="AD73" s="47">
        <f>AD$104</f>
        <v>1497.4581203876673</v>
      </c>
      <c r="AE73" s="47">
        <f>AE$104</f>
        <v>3226.336311250881</v>
      </c>
      <c r="AF73" s="47">
        <f t="shared" ref="AF73" si="1">AF$104</f>
        <v>3226.336311250881</v>
      </c>
      <c r="AG73" s="116"/>
      <c r="AH73" s="47">
        <f>AH$104</f>
        <v>2019.8859732041299</v>
      </c>
      <c r="AI73" s="39"/>
      <c r="AJ73" s="39"/>
      <c r="AK73" s="39"/>
    </row>
    <row r="74" spans="1:37">
      <c r="A74" s="39"/>
      <c r="B74" s="39"/>
      <c r="C74" s="39"/>
      <c r="D74" s="39"/>
      <c r="E74" s="39" t="s">
        <v>261</v>
      </c>
      <c r="F74" s="39" t="str">
        <f>_xlfn.IFS($J36=Choices!$B$19,1,$J36=Choices!$B$20,2,$J36=Choices!$B$21,3,$J36=Choices!$B$22,4,$J36=Choices!$B$23,5,TRUE,"")</f>
        <v/>
      </c>
      <c r="G74" s="39"/>
      <c r="H74" s="39"/>
      <c r="I74" s="39"/>
      <c r="J74" s="46"/>
      <c r="K74" s="39"/>
      <c r="L74" s="39"/>
      <c r="M74" s="39"/>
      <c r="N74" s="39"/>
      <c r="O74" s="39"/>
      <c r="P74" s="39"/>
      <c r="Q74" s="46"/>
      <c r="R74" s="39"/>
      <c r="S74" s="39"/>
      <c r="T74" s="39"/>
      <c r="U74" s="39"/>
      <c r="V74" s="39"/>
      <c r="W74" s="39"/>
      <c r="X74" s="46"/>
      <c r="Y74" s="39"/>
      <c r="Z74" s="39"/>
      <c r="AA74" s="39"/>
      <c r="AB74" s="39"/>
      <c r="AC74" s="44" t="s">
        <v>338</v>
      </c>
      <c r="AD74" s="116"/>
      <c r="AE74" s="116"/>
      <c r="AF74" s="116"/>
      <c r="AG74" s="47">
        <f>$AG$109</f>
        <v>139.6</v>
      </c>
      <c r="AH74" s="116"/>
      <c r="AI74" s="39"/>
      <c r="AJ74" s="39"/>
      <c r="AK74" s="39"/>
    </row>
    <row r="75" spans="1:37">
      <c r="A75" s="39"/>
      <c r="B75" s="39"/>
      <c r="C75" s="39"/>
      <c r="D75" s="39"/>
      <c r="E75" s="39" t="s">
        <v>262</v>
      </c>
      <c r="F75" s="39" t="str">
        <f>_xlfn.IFS($J37=Choices!$B$19,1,$J37=Choices!$B$20,2,$J37=Choices!$B$21,3,$J37=Choices!$B$22,4,$J37=Choices!$B$23,5,TRUE,"")</f>
        <v/>
      </c>
      <c r="G75" s="39"/>
      <c r="H75" s="39"/>
      <c r="I75" s="39"/>
      <c r="J75" s="46"/>
      <c r="K75" s="39"/>
      <c r="L75" s="39"/>
      <c r="M75" s="39"/>
      <c r="N75" s="39"/>
      <c r="O75" s="39"/>
      <c r="P75" s="39"/>
      <c r="Q75" s="46"/>
      <c r="R75" s="39"/>
      <c r="S75" s="39"/>
      <c r="T75" s="39"/>
      <c r="U75" s="39"/>
      <c r="V75" s="39"/>
      <c r="W75" s="39"/>
      <c r="X75" s="46"/>
      <c r="Y75" s="39"/>
      <c r="Z75" s="39"/>
      <c r="AA75" s="39"/>
      <c r="AB75" s="39"/>
      <c r="AC75" s="90"/>
      <c r="AD75" s="91"/>
      <c r="AE75" s="91"/>
      <c r="AF75" s="91"/>
      <c r="AG75" s="39"/>
      <c r="AH75" s="91"/>
      <c r="AI75" s="39"/>
      <c r="AJ75" s="39"/>
      <c r="AK75" s="39"/>
    </row>
    <row r="76" spans="1:37">
      <c r="A76" s="39"/>
      <c r="B76" s="39"/>
      <c r="C76" s="39"/>
      <c r="D76" s="39"/>
      <c r="E76" s="39" t="s">
        <v>591</v>
      </c>
      <c r="F76" s="39" t="str">
        <f>IF($AH$66=1,1,"")</f>
        <v/>
      </c>
      <c r="G76" s="39"/>
      <c r="H76" s="39"/>
      <c r="I76" s="39"/>
      <c r="J76" s="46"/>
      <c r="K76" s="39"/>
      <c r="L76" s="39"/>
      <c r="M76" s="39"/>
      <c r="N76" s="39"/>
      <c r="O76" s="39"/>
      <c r="P76" s="39"/>
      <c r="Q76" s="46"/>
      <c r="R76" s="39"/>
      <c r="S76" s="39"/>
      <c r="T76" s="39"/>
      <c r="U76" s="39"/>
      <c r="V76" s="39"/>
      <c r="W76" s="39"/>
      <c r="X76" s="46"/>
      <c r="Y76" s="39"/>
      <c r="Z76" s="39"/>
      <c r="AA76" s="39"/>
      <c r="AB76" s="42" t="s">
        <v>360</v>
      </c>
      <c r="AC76" s="90"/>
      <c r="AD76" s="91"/>
      <c r="AE76" s="91"/>
      <c r="AF76" s="91"/>
      <c r="AG76" s="39"/>
      <c r="AH76" s="91"/>
      <c r="AI76" s="39"/>
      <c r="AJ76" s="39"/>
      <c r="AK76" s="39"/>
    </row>
    <row r="77" spans="1:37" ht="51.75" customHeight="1">
      <c r="A77" s="39"/>
      <c r="B77" s="39"/>
      <c r="C77" s="39"/>
      <c r="D77" s="42" t="s">
        <v>356</v>
      </c>
      <c r="E77" s="39"/>
      <c r="F77" s="39"/>
      <c r="G77" s="39"/>
      <c r="H77" s="39"/>
      <c r="I77" s="39"/>
      <c r="J77" s="39"/>
      <c r="K77" s="39"/>
      <c r="L77" s="39"/>
      <c r="M77" s="39"/>
      <c r="N77" s="39"/>
      <c r="O77" s="39"/>
      <c r="P77" s="39"/>
      <c r="Q77" s="39"/>
      <c r="R77" s="39"/>
      <c r="S77" s="39"/>
      <c r="T77" s="39"/>
      <c r="U77" s="39"/>
      <c r="V77" s="39"/>
      <c r="W77" s="39"/>
      <c r="X77" s="39"/>
      <c r="Y77" s="39"/>
      <c r="Z77" s="39"/>
      <c r="AA77" s="39"/>
      <c r="AB77" s="49"/>
      <c r="AC77" s="49"/>
      <c r="AD77" s="50" t="s">
        <v>75</v>
      </c>
      <c r="AE77" s="51" t="s">
        <v>571</v>
      </c>
      <c r="AF77" s="51" t="s">
        <v>572</v>
      </c>
      <c r="AG77" s="49"/>
      <c r="AH77" s="51" t="s">
        <v>223</v>
      </c>
      <c r="AI77" s="51" t="s">
        <v>573</v>
      </c>
      <c r="AJ77" s="39"/>
      <c r="AK77" s="39"/>
    </row>
    <row r="78" spans="1:37">
      <c r="A78" s="39"/>
      <c r="B78" s="39"/>
      <c r="C78" s="39"/>
      <c r="D78" s="39" t="s">
        <v>589</v>
      </c>
      <c r="E78" s="39"/>
      <c r="F78" s="39"/>
      <c r="G78" s="39"/>
      <c r="H78" s="39"/>
      <c r="I78" s="39"/>
      <c r="J78" s="39"/>
      <c r="K78" s="39"/>
      <c r="L78" s="39"/>
      <c r="M78" s="39"/>
      <c r="N78" s="39"/>
      <c r="O78" s="39"/>
      <c r="P78" s="39"/>
      <c r="Q78" s="39"/>
      <c r="R78" s="39"/>
      <c r="S78" s="39"/>
      <c r="T78" s="39"/>
      <c r="U78" s="39"/>
      <c r="V78" s="39"/>
      <c r="W78" s="39"/>
      <c r="X78" s="39"/>
      <c r="Y78" s="39"/>
      <c r="Z78" s="39"/>
      <c r="AA78" s="39"/>
      <c r="AB78" s="40" t="s">
        <v>247</v>
      </c>
      <c r="AC78" s="39"/>
      <c r="AD78" s="39"/>
      <c r="AE78" s="39"/>
      <c r="AF78" s="39"/>
      <c r="AG78" s="39"/>
      <c r="AH78" s="39"/>
      <c r="AI78" s="39"/>
      <c r="AJ78" s="39"/>
      <c r="AK78" s="39"/>
    </row>
    <row r="79" spans="1:37">
      <c r="A79" s="39"/>
      <c r="B79" s="39"/>
      <c r="C79" s="39"/>
      <c r="D79" s="39"/>
      <c r="E79" s="39" t="s">
        <v>371</v>
      </c>
      <c r="F79" s="39"/>
      <c r="G79" s="39"/>
      <c r="H79" s="39"/>
      <c r="I79" s="39"/>
      <c r="J79" s="39"/>
      <c r="K79" s="39"/>
      <c r="L79" s="39"/>
      <c r="M79" s="39"/>
      <c r="N79" s="39"/>
      <c r="O79" s="39"/>
      <c r="P79" s="39"/>
      <c r="Q79" s="39"/>
      <c r="R79" s="39"/>
      <c r="S79" s="39"/>
      <c r="T79" s="39"/>
      <c r="U79" s="39"/>
      <c r="V79" s="39"/>
      <c r="W79" s="39"/>
      <c r="X79" s="39"/>
      <c r="Y79" s="39"/>
      <c r="Z79" s="39"/>
      <c r="AA79" s="39"/>
      <c r="AB79" s="39"/>
      <c r="AC79" s="39" t="s">
        <v>19</v>
      </c>
      <c r="AD79" s="44">
        <f>IF(OR($J$34=Choices!$B$21,$J$35=Choices!$B$21,$J$36=Choices!$B$21,$J$37=Choices!$B$21),1,0)</f>
        <v>0</v>
      </c>
      <c r="AE79" s="44">
        <f>IF($Q$51=Choices!$B$36,IF(OR($E$34=Choices!$B$21,$E$35=Choices!$B$21,$E$36=Choices!$B$21,$E$37=Choices!$B$21,$Q$34=Choices!$B$21,$Q$35=Choices!$B$21,$Q$36=Choices!$B$21,$Q$37=Choices!$B$21),1,0),IF(OR($Q$34=Choices!$B$21,$Q$35=Choices!$B$21,$Q$36=Choices!$B$21,$Q$37=Choices!$B$21),1,0))</f>
        <v>0</v>
      </c>
      <c r="AF79" s="44">
        <f>IF(OR($E$34=Choices!$B$21,$E$35=Choices!$B$21,$E$36=Choices!$B$21,$E$37=Choices!$B$21,$Q$34=Choices!$B$21,$Q$35=Choices!$B$21,$Q$36=Choices!$B$21,$Q$37=Choices!$B$21),1,0)</f>
        <v>0</v>
      </c>
      <c r="AG79" s="44"/>
      <c r="AH79" s="44">
        <f>IF(OR($E$34=Choices!$B$21,$E$35=Choices!$B$21,$E$36=Choices!$B$21,$E$37=Choices!$B$21),1,0)</f>
        <v>0</v>
      </c>
      <c r="AI79" s="44">
        <f>IF(OR($Q$34=Choices!$B$21,$Q$35=Choices!$B$21,$Q$36=Choices!$B$21,$Q$37=Choices!$B$21),1,0)</f>
        <v>0</v>
      </c>
      <c r="AJ79" s="39"/>
      <c r="AK79" s="39"/>
    </row>
    <row r="80" spans="1:37">
      <c r="A80" s="39"/>
      <c r="B80" s="39"/>
      <c r="C80" s="39"/>
      <c r="D80" s="39"/>
      <c r="E80" s="39" t="s">
        <v>372</v>
      </c>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row>
    <row r="81" spans="1:37">
      <c r="A81" s="39"/>
      <c r="B81" s="39"/>
      <c r="C81" s="39"/>
      <c r="D81" s="39"/>
      <c r="E81" s="39" t="s">
        <v>361</v>
      </c>
      <c r="F81" s="39"/>
      <c r="G81" s="39"/>
      <c r="H81" s="39"/>
      <c r="I81" s="39"/>
      <c r="J81" s="39"/>
      <c r="K81" s="39"/>
      <c r="L81" s="39"/>
      <c r="M81" s="39"/>
      <c r="N81" s="39"/>
      <c r="O81" s="39"/>
      <c r="P81" s="39"/>
      <c r="Q81" s="39"/>
      <c r="R81" s="39"/>
      <c r="S81" s="39"/>
      <c r="T81" s="39"/>
      <c r="U81" s="39"/>
      <c r="V81" s="39"/>
      <c r="W81" s="39"/>
      <c r="X81" s="39"/>
      <c r="Y81" s="39"/>
      <c r="Z81" s="39"/>
      <c r="AA81" s="39"/>
      <c r="AB81" s="39"/>
      <c r="AC81" s="39" t="s">
        <v>34</v>
      </c>
      <c r="AD81" s="44">
        <f>$J$25</f>
        <v>50</v>
      </c>
      <c r="AE81" s="44">
        <f>$E$25+$Q$25</f>
        <v>450</v>
      </c>
      <c r="AF81" s="44">
        <f>$E$25+$Q$25</f>
        <v>450</v>
      </c>
      <c r="AG81" s="44"/>
      <c r="AH81" s="44">
        <f>$E$25</f>
        <v>50</v>
      </c>
      <c r="AI81" s="44">
        <f>$Q$25</f>
        <v>400</v>
      </c>
      <c r="AJ81" s="39"/>
      <c r="AK81" s="39"/>
    </row>
    <row r="82" spans="1:37">
      <c r="A82" s="39"/>
      <c r="B82" s="39"/>
      <c r="C82" s="39"/>
      <c r="D82" s="39"/>
      <c r="E82" s="39" t="s">
        <v>363</v>
      </c>
      <c r="F82" s="39"/>
      <c r="G82" s="39"/>
      <c r="H82" s="39"/>
      <c r="I82" s="39"/>
      <c r="J82" s="39"/>
      <c r="K82" s="39"/>
      <c r="L82" s="39"/>
      <c r="M82" s="39"/>
      <c r="N82" s="39"/>
      <c r="O82" s="39"/>
      <c r="P82" s="39"/>
      <c r="Q82" s="39"/>
      <c r="R82" s="39"/>
      <c r="S82" s="39"/>
      <c r="T82" s="39"/>
      <c r="U82" s="39"/>
      <c r="V82" s="39"/>
      <c r="W82" s="39"/>
      <c r="X82" s="39"/>
      <c r="Y82" s="39"/>
      <c r="Z82" s="39"/>
      <c r="AA82" s="39"/>
      <c r="AB82" s="39"/>
      <c r="AC82" s="39" t="s">
        <v>37</v>
      </c>
      <c r="AD82" s="44">
        <f>IF(OR($J$34=Choices!$B$21,$J$35=Choices!$B$21,$J$36=Choices!$B$21,$J$37=Choices!$B$21),1,0)</f>
        <v>0</v>
      </c>
      <c r="AE82" s="44">
        <f>IF($Q$51=Choices!$B$36,IF(OR($E$34=Choices!$B$21,$E$35=Choices!$B$21,$E$36=Choices!$B$21,$E$37=Choices!$B$21,$Q$34=Choices!$B$21,$Q$35=Choices!$B$21,$Q$36=Choices!$B$21,$Q$37=Choices!$B$21),1,0),IF(OR($Q$34=Choices!$B$21,$Q$35=Choices!$B$21,$Q$36=Choices!$B$21,$Q$37=Choices!$B$21),1,0))</f>
        <v>0</v>
      </c>
      <c r="AF82" s="44">
        <f>IF(OR($E$34=Choices!$B$21,$E$35=Choices!$B$21,$E$36=Choices!$B$21,$E$37=Choices!$B$21,$Q$34=Choices!$B$21,$Q$35=Choices!$B$21,$Q$36=Choices!$B$21,$Q$37=Choices!$B$21),1,0)</f>
        <v>0</v>
      </c>
      <c r="AG82" s="44"/>
      <c r="AH82" s="44">
        <f>IF(OR($E$34=Choices!$B$21,$E$35=Choices!$B$21,$E$36=Choices!$B$21,$E$37=Choices!$B$21),1,0)</f>
        <v>0</v>
      </c>
      <c r="AI82" s="44">
        <f>IF(OR($Q$34=Choices!$B$21,$Q$35=Choices!$B$21,$Q$36=Choices!$B$21,$Q$37=Choices!$B$21),1,0)</f>
        <v>0</v>
      </c>
      <c r="AJ82" s="39"/>
      <c r="AK82" s="39"/>
    </row>
    <row r="83" spans="1:37">
      <c r="A83" s="39"/>
      <c r="B83" s="39"/>
      <c r="C83" s="39"/>
      <c r="D83" s="39"/>
      <c r="E83" s="39" t="s">
        <v>362</v>
      </c>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c r="AK83" s="39"/>
    </row>
    <row r="84" spans="1:37">
      <c r="A84" s="39"/>
      <c r="B84" s="39"/>
      <c r="C84" s="39"/>
      <c r="D84" s="39"/>
      <c r="E84" s="39" t="s">
        <v>590</v>
      </c>
      <c r="F84" s="39"/>
      <c r="G84" s="39"/>
      <c r="H84" s="39"/>
      <c r="I84" s="39"/>
      <c r="J84" s="39"/>
      <c r="K84" s="39"/>
      <c r="L84" s="39"/>
      <c r="M84" s="39"/>
      <c r="N84" s="39"/>
      <c r="O84" s="39"/>
      <c r="P84" s="39"/>
      <c r="Q84" s="39"/>
      <c r="R84" s="39"/>
      <c r="S84" s="39"/>
      <c r="T84" s="39"/>
      <c r="U84" s="39"/>
      <c r="V84" s="39"/>
      <c r="W84" s="39"/>
      <c r="X84" s="39"/>
      <c r="Y84" s="39"/>
      <c r="Z84" s="39"/>
      <c r="AA84" s="39"/>
      <c r="AB84" s="39"/>
      <c r="AC84" s="39" t="s">
        <v>169</v>
      </c>
      <c r="AD84" s="52">
        <f>IF(AD81="","",((AD81-'RC'!$I$6)/'RC'!$J$6*'RC'!$K$6+AD82*'RC'!$K$7+'RC'!$K$8)*'RC'!$J$8+'RC'!$I$8)</f>
        <v>183852.90745855751</v>
      </c>
      <c r="AE84" s="52">
        <f>IF(AE81="","",((AE81-'RC'!$I$6)/'RC'!$J$6*'RC'!$K$6+AE82*'RC'!$K$7+'RC'!$K$8)*'RC'!$J$8+'RC'!$I$8)</f>
        <v>187225.46570089995</v>
      </c>
      <c r="AF84" s="52">
        <f>IF(AF81="","",((AF81-'RC'!$I$6)/'RC'!$J$6*'RC'!$K$6+AF82*'RC'!$K$7+'RC'!$K$8)*'RC'!$J$8+'RC'!$I$8)</f>
        <v>187225.46570089995</v>
      </c>
      <c r="AG84" s="52"/>
      <c r="AH84" s="52">
        <f>IF(AH81="","",((AH81-'RC'!$I$6)/'RC'!$J$6*'RC'!$K$6+AH82*'RC'!$K$7+'RC'!$K$8)*'RC'!$J$8+'RC'!$I$8)</f>
        <v>183852.90745855751</v>
      </c>
      <c r="AI84" s="52">
        <f>IF(AI81="","",((AI81-'RC'!$I$6)/'RC'!$J$6*'RC'!$K$6+AI82*'RC'!$K$7+'RC'!$K$8)*'RC'!$J$8+'RC'!$I$8)</f>
        <v>186803.89592060714</v>
      </c>
      <c r="AJ84" s="39"/>
      <c r="AK84" s="39"/>
    </row>
    <row r="85" spans="1:37">
      <c r="A85" s="39"/>
      <c r="B85" s="39"/>
      <c r="C85" s="39"/>
      <c r="D85" s="39"/>
      <c r="E85" s="39" t="s">
        <v>650</v>
      </c>
      <c r="F85" s="39"/>
      <c r="G85" s="39"/>
      <c r="H85" s="39"/>
      <c r="I85" s="39"/>
      <c r="J85" s="39"/>
      <c r="K85" s="39"/>
      <c r="L85" s="39"/>
      <c r="M85" s="39"/>
      <c r="N85" s="39"/>
      <c r="O85" s="39"/>
      <c r="P85" s="39"/>
      <c r="Q85" s="39"/>
      <c r="R85" s="39"/>
      <c r="S85" s="39"/>
      <c r="T85" s="39"/>
      <c r="U85" s="39"/>
      <c r="V85" s="39"/>
      <c r="W85" s="39"/>
      <c r="X85" s="39"/>
      <c r="Y85" s="39"/>
      <c r="Z85" s="39"/>
      <c r="AA85" s="39"/>
      <c r="AB85" s="49"/>
      <c r="AC85" s="49"/>
      <c r="AD85" s="49"/>
      <c r="AE85" s="49"/>
      <c r="AF85" s="49"/>
      <c r="AG85" s="49"/>
      <c r="AH85" s="49"/>
      <c r="AI85" s="49"/>
      <c r="AJ85" s="39"/>
      <c r="AK85" s="39"/>
    </row>
    <row r="86" spans="1:37">
      <c r="A86" s="39"/>
      <c r="B86" s="39"/>
      <c r="C86" s="39"/>
      <c r="D86" s="39"/>
      <c r="E86" s="39" t="s">
        <v>649</v>
      </c>
      <c r="F86" s="39"/>
      <c r="G86" s="39"/>
      <c r="H86" s="39"/>
      <c r="I86" s="39"/>
      <c r="J86" s="39"/>
      <c r="K86" s="39"/>
      <c r="L86" s="39"/>
      <c r="M86" s="39"/>
      <c r="N86" s="39"/>
      <c r="O86" s="39"/>
      <c r="P86" s="39"/>
      <c r="Q86" s="39"/>
      <c r="R86" s="39"/>
      <c r="S86" s="39"/>
      <c r="T86" s="39"/>
      <c r="U86" s="39"/>
      <c r="V86" s="39"/>
      <c r="W86" s="39"/>
      <c r="X86" s="39"/>
      <c r="Y86" s="39"/>
      <c r="Z86" s="39"/>
      <c r="AA86" s="39"/>
      <c r="AB86" s="40" t="s">
        <v>246</v>
      </c>
      <c r="AC86" s="39"/>
      <c r="AD86" s="39"/>
      <c r="AE86" s="39"/>
      <c r="AF86" s="39"/>
      <c r="AG86" s="39"/>
      <c r="AH86" s="39"/>
      <c r="AI86" s="39"/>
      <c r="AJ86" s="39"/>
      <c r="AK86" s="39"/>
    </row>
    <row r="87" spans="1:37">
      <c r="A87" s="39"/>
      <c r="B87" s="39"/>
      <c r="C87" s="39"/>
      <c r="D87" s="39"/>
      <c r="E87" s="39" t="s">
        <v>602</v>
      </c>
      <c r="F87" s="39"/>
      <c r="G87" s="39"/>
      <c r="H87" s="39"/>
      <c r="I87" s="39"/>
      <c r="J87" s="39"/>
      <c r="K87" s="39"/>
      <c r="L87" s="39"/>
      <c r="M87" s="39"/>
      <c r="N87" s="39"/>
      <c r="O87" s="39"/>
      <c r="P87" s="39"/>
      <c r="Q87" s="39"/>
      <c r="R87" s="39"/>
      <c r="S87" s="39"/>
      <c r="T87" s="39"/>
      <c r="U87" s="39"/>
      <c r="V87" s="39"/>
      <c r="W87" s="39"/>
      <c r="X87" s="39"/>
      <c r="Y87" s="39"/>
      <c r="Z87" s="39"/>
      <c r="AA87" s="39"/>
      <c r="AB87" s="39"/>
      <c r="AC87" s="39" t="s">
        <v>169</v>
      </c>
      <c r="AD87" s="52">
        <f>IF(AD95="","",((AD95-'RC'!$I$19)/'RC'!$J$19*'RC'!$K$19+(AD96-'RC'!$I$20)/'RC'!$J$20*'RC'!$K$20+AD97*'RC'!$K$21+AD98*'RC'!$K$22+AD79*'RC'!$K$23+'RC'!$K$24)*'RC'!$J$24+'RC'!$I$24)</f>
        <v>17835.040608240197</v>
      </c>
      <c r="AE87" s="52">
        <f>IF(AE95="","",((AE95-'RC'!$I$19)/'RC'!$J$19*'RC'!$K$19+(AE96-'RC'!$I$20)/'RC'!$J$20*'RC'!$K$20+AE97*'RC'!$K$21+AE98*'RC'!$K$22+AE79*'RC'!$K$23+'RC'!$K$24)*'RC'!$J$24+'RC'!$I$24)</f>
        <v>36382.654631738886</v>
      </c>
      <c r="AF87" s="52">
        <f>IF(AF95="","",((AF95-'RC'!$I$19)/'RC'!$J$19*'RC'!$K$19+(AF96-'RC'!$I$20)/'RC'!$J$20*'RC'!$K$20+AF97*'RC'!$K$21+AF98*'RC'!$K$22+AF79*'RC'!$K$23+'RC'!$K$24)*'RC'!$J$24+'RC'!$I$24)</f>
        <v>38959.780029550311</v>
      </c>
      <c r="AG87" s="52"/>
      <c r="AH87" s="52">
        <f>IF(AH95="","",((AH95-'RC'!$I$19)/'RC'!$J$19*'RC'!$K$19+(AH96-'RC'!$I$20)/'RC'!$J$20*'RC'!$K$20+AH97*'RC'!$K$21+AH98*'RC'!$K$22+AH79*'RC'!$K$23+'RC'!$K$24)*'RC'!$J$24+'RC'!$I$24)</f>
        <v>17835.040608240197</v>
      </c>
      <c r="AI87" s="52">
        <f>IF(AI95="","",((AI95-'RC'!$I$19)/'RC'!$J$19*'RC'!$K$19+(AI96-'RC'!$I$20)/'RC'!$J$20*'RC'!$K$20+AI97*'RC'!$K$21+AI98*'RC'!$K$22+AI79*'RC'!$K$23+'RC'!$K$24)*'RC'!$J$24+'RC'!$I$24)</f>
        <v>35747.406778609198</v>
      </c>
      <c r="AJ87" s="39"/>
      <c r="AK87" s="39"/>
    </row>
    <row r="88" spans="1:37">
      <c r="A88" s="39"/>
      <c r="B88" s="39"/>
      <c r="C88" s="39"/>
      <c r="D88" s="39" t="s">
        <v>585</v>
      </c>
      <c r="E88" s="39"/>
      <c r="F88" s="39"/>
      <c r="G88" s="39"/>
      <c r="H88" s="39"/>
      <c r="I88" s="39"/>
      <c r="J88" s="39"/>
      <c r="K88" s="39"/>
      <c r="L88" s="39"/>
      <c r="M88" s="39"/>
      <c r="N88" s="39"/>
      <c r="O88" s="39"/>
      <c r="P88" s="39"/>
      <c r="Q88" s="39"/>
      <c r="R88" s="39"/>
      <c r="S88" s="39"/>
      <c r="T88" s="39"/>
      <c r="U88" s="39"/>
      <c r="V88" s="39"/>
      <c r="W88" s="39"/>
      <c r="X88" s="39"/>
      <c r="Y88" s="39"/>
      <c r="Z88" s="39"/>
      <c r="AA88" s="39"/>
      <c r="AB88" s="40"/>
      <c r="AC88" s="39" t="s">
        <v>34</v>
      </c>
      <c r="AD88" s="44">
        <f>$J$25</f>
        <v>50</v>
      </c>
      <c r="AE88" s="44">
        <f>$E$25+$Q$25</f>
        <v>450</v>
      </c>
      <c r="AF88" s="44">
        <f>$E$25+$Q$25</f>
        <v>450</v>
      </c>
      <c r="AG88" s="44"/>
      <c r="AH88" s="44">
        <f>$E$25</f>
        <v>50</v>
      </c>
      <c r="AI88" s="44">
        <f>$Q$25</f>
        <v>400</v>
      </c>
      <c r="AJ88" s="39"/>
      <c r="AK88" s="39"/>
    </row>
    <row r="89" spans="1:37">
      <c r="A89" s="39"/>
      <c r="B89" s="39"/>
      <c r="C89" s="39"/>
      <c r="D89" s="39"/>
      <c r="E89" s="39" t="s">
        <v>364</v>
      </c>
      <c r="F89" s="39"/>
      <c r="G89" s="39"/>
      <c r="H89" s="39"/>
      <c r="I89" s="39"/>
      <c r="J89" s="39"/>
      <c r="K89" s="39"/>
      <c r="L89" s="39"/>
      <c r="M89" s="39"/>
      <c r="N89" s="39"/>
      <c r="O89" s="39"/>
      <c r="P89" s="39"/>
      <c r="Q89" s="39"/>
      <c r="R89" s="39"/>
      <c r="S89" s="39"/>
      <c r="T89" s="39"/>
      <c r="U89" s="39"/>
      <c r="V89" s="39"/>
      <c r="W89" s="39"/>
      <c r="X89" s="39"/>
      <c r="Y89" s="39"/>
      <c r="Z89" s="39"/>
      <c r="AA89" s="39"/>
      <c r="AB89" s="39"/>
      <c r="AC89" s="39" t="s">
        <v>35</v>
      </c>
      <c r="AD89" s="44">
        <f>IF(OR($J$30=Choices!$B$17,$J$31=Choices!$B$17,$J$32=Choices!$B$17,$J$33=Choices!$B$17),1,0)</f>
        <v>0</v>
      </c>
      <c r="AE89" s="44">
        <f>IF($Q$50=Choices!$B$36,IF(OR($E$30=Choices!$B$17,$E$31=Choices!$B$17,$E$32=Choices!$B$17,$E$33=Choices!$B$17,$Q$30=Choices!$B$17,$Q$31=Choices!$B$17,$Q$32=Choices!$B$17,$Q$33=Choices!$B$17),1,0),IF(OR($Q$30=Choices!$B$17,$Q$31=Choices!$B$17,$Q$32=Choices!$B$17,$Q$33=Choices!$B$17),1,0))</f>
        <v>0</v>
      </c>
      <c r="AF89" s="44">
        <f>IF(OR($E$30=Choices!$B$17,$E$31=Choices!$B$17,$E$32=Choices!$B$17,$E$33=Choices!$B$17,$Q$30=Choices!$B$17,$Q$31=Choices!$B$17,$Q$32=Choices!$B$17,$Q$33=Choices!$B$17),1,0)</f>
        <v>0</v>
      </c>
      <c r="AG89" s="44"/>
      <c r="AH89" s="44">
        <f>IF(OR($E$30=Choices!$B$17,$E$31=Choices!$B$17,$E$32=Choices!$B$17,$E$33=Choices!$B$17),1,0)</f>
        <v>0</v>
      </c>
      <c r="AI89" s="44">
        <f>IF(OR($Q$30=Choices!$B$17,$Q$31=Choices!$B$17,$Q$32=Choices!$B$17,$Q$33=Choices!$B$17),1,0)</f>
        <v>0</v>
      </c>
      <c r="AJ89" s="39"/>
      <c r="AK89" s="39"/>
    </row>
    <row r="90" spans="1:37">
      <c r="A90" s="39"/>
      <c r="B90" s="39"/>
      <c r="C90" s="39"/>
      <c r="D90" s="39"/>
      <c r="E90" s="39" t="s">
        <v>365</v>
      </c>
      <c r="F90" s="39"/>
      <c r="G90" s="39"/>
      <c r="H90" s="39"/>
      <c r="I90" s="39"/>
      <c r="J90" s="39"/>
      <c r="K90" s="39"/>
      <c r="L90" s="39"/>
      <c r="M90" s="39"/>
      <c r="N90" s="39"/>
      <c r="O90" s="39"/>
      <c r="P90" s="39"/>
      <c r="Q90" s="39"/>
      <c r="R90" s="39"/>
      <c r="S90" s="39"/>
      <c r="T90" s="39"/>
      <c r="U90" s="39"/>
      <c r="V90" s="39"/>
      <c r="W90" s="39"/>
      <c r="X90" s="39"/>
      <c r="Y90" s="39"/>
      <c r="Z90" s="39"/>
      <c r="AA90" s="39"/>
      <c r="AB90" s="39"/>
      <c r="AC90" s="39" t="s">
        <v>36</v>
      </c>
      <c r="AD90" s="44">
        <f>IF(OR($J$34=Choices!$B$21,$J$35=Choices!$B$21,$J$36=Choices!$B$21,$J$37=Choices!$B$21),1,0)</f>
        <v>0</v>
      </c>
      <c r="AE90" s="44">
        <f>IF($Q$51=Choices!$B$36,IF(OR($E$34=Choices!$B$21,$E$35=Choices!$B$21,$E$36=Choices!$B$21,$E$37=Choices!$B$21,$Q$34=Choices!$B$21,$Q$35=Choices!$B$21,$Q$36=Choices!$B$21,$Q$37=Choices!$B$21),1,0),IF(OR($Q$34=Choices!$B$21,$Q$35=Choices!$B$21,$Q$36=Choices!$B$21,$Q$37=Choices!$B$21),1,0))</f>
        <v>0</v>
      </c>
      <c r="AF90" s="44">
        <f>IF(OR($E$34=Choices!$B$21,$E$35=Choices!$B$21,$E$36=Choices!$B$21,$E$37=Choices!$B$21,$Q$34=Choices!$B$21,$Q$35=Choices!$B$21,$Q$36=Choices!$B$21,$Q$37=Choices!$B$21),1,0)</f>
        <v>0</v>
      </c>
      <c r="AG90" s="44"/>
      <c r="AH90" s="44">
        <f>IF(OR($J$34=Choices!$B$21,$J$35=Choices!$B$21,$J$36=Choices!$B$21,$J$37=Choices!$B$21),1,0)</f>
        <v>0</v>
      </c>
      <c r="AI90" s="44">
        <f>IF(OR($Q$34=Choices!$B$21,$Q$35=Choices!$B$21,$Q$36=Choices!$B$21,$Q$37=Choices!$B$21),1,0)</f>
        <v>0</v>
      </c>
      <c r="AJ90" s="39"/>
      <c r="AK90" s="39"/>
    </row>
    <row r="91" spans="1:37">
      <c r="A91" s="39"/>
      <c r="B91" s="39"/>
      <c r="C91" s="39"/>
      <c r="D91" s="39"/>
      <c r="E91" s="39" t="s">
        <v>366</v>
      </c>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row>
    <row r="92" spans="1:37">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t="s">
        <v>169</v>
      </c>
      <c r="AD92" s="52">
        <f>IF(AD88="","",((AD88-'RC'!$I$12)/'RC'!$J$12*'RC'!$K$12+AD89*'RC'!$K$13+AD90*'RC'!$K$14+'RC'!$K$15)*'RC'!$J$15+'RC'!$I$15)</f>
        <v>20884.388054453899</v>
      </c>
      <c r="AE92" s="52">
        <f>IF(AE88="","",((AE88-'RC'!$I$12)/'RC'!$J$12*'RC'!$K$12+AE89*'RC'!$K$13+AE90*'RC'!$K$14+'RC'!$K$15)*'RC'!$J$15+'RC'!$I$15)</f>
        <v>25990.064204393493</v>
      </c>
      <c r="AF92" s="52">
        <f>IF(AF88="","",((AF88-'RC'!$I$12)/'RC'!$J$12*'RC'!$K$12+AF89*'RC'!$K$13+AF90*'RC'!$K$14+'RC'!$K$15)*'RC'!$J$15+'RC'!$I$15)</f>
        <v>25990.064204393493</v>
      </c>
      <c r="AG92" s="52"/>
      <c r="AH92" s="52">
        <f>IF(AH88="","",((AH88-'RC'!$I$12)/'RC'!$J$12*'RC'!$K$12+AH89*'RC'!$K$13+AH90*'RC'!$K$14+'RC'!$K$15)*'RC'!$J$15+'RC'!$I$15)</f>
        <v>20884.388054453899</v>
      </c>
      <c r="AI92" s="52">
        <f>IF(AI88="","",((AI88-'RC'!$I$12)/'RC'!$J$12*'RC'!$K$12+AI89*'RC'!$K$13+AI90*'RC'!$K$14+'RC'!$K$15)*'RC'!$J$15+'RC'!$I$15)</f>
        <v>25351.854685651051</v>
      </c>
      <c r="AJ92" s="39"/>
      <c r="AK92" s="39"/>
    </row>
    <row r="93" spans="1:37">
      <c r="A93" s="39"/>
      <c r="B93" s="39"/>
      <c r="C93" s="39"/>
      <c r="D93" s="39" t="s">
        <v>587</v>
      </c>
      <c r="E93" s="39"/>
      <c r="F93" s="39"/>
      <c r="G93" s="39"/>
      <c r="H93" s="39"/>
      <c r="I93" s="39"/>
      <c r="J93" s="39"/>
      <c r="K93" s="39"/>
      <c r="L93" s="39"/>
      <c r="M93" s="39"/>
      <c r="N93" s="39"/>
      <c r="O93" s="39"/>
      <c r="P93" s="39"/>
      <c r="Q93" s="39"/>
      <c r="R93" s="39"/>
      <c r="S93" s="39"/>
      <c r="T93" s="39"/>
      <c r="U93" s="39"/>
      <c r="V93" s="39"/>
      <c r="W93" s="39"/>
      <c r="X93" s="39"/>
      <c r="Y93" s="39"/>
      <c r="Z93" s="39"/>
      <c r="AA93" s="39"/>
      <c r="AB93" s="49"/>
      <c r="AC93" s="49"/>
      <c r="AD93" s="49"/>
      <c r="AE93" s="49"/>
      <c r="AF93" s="49"/>
      <c r="AG93" s="49"/>
      <c r="AH93" s="49"/>
      <c r="AI93" s="49"/>
      <c r="AJ93" s="39"/>
      <c r="AK93" s="39"/>
    </row>
    <row r="94" spans="1:37">
      <c r="A94" s="39"/>
      <c r="B94" s="39"/>
      <c r="C94" s="39"/>
      <c r="D94" s="39"/>
      <c r="E94" s="39" t="s">
        <v>367</v>
      </c>
      <c r="F94" s="39"/>
      <c r="G94" s="39"/>
      <c r="H94" s="39"/>
      <c r="I94" s="39"/>
      <c r="J94" s="39"/>
      <c r="K94" s="39"/>
      <c r="L94" s="39"/>
      <c r="M94" s="39"/>
      <c r="N94" s="39"/>
      <c r="O94" s="39"/>
      <c r="P94" s="39"/>
      <c r="Q94" s="39"/>
      <c r="R94" s="39"/>
      <c r="S94" s="39"/>
      <c r="T94" s="39"/>
      <c r="U94" s="39"/>
      <c r="V94" s="39"/>
      <c r="W94" s="39"/>
      <c r="X94" s="39"/>
      <c r="Y94" s="39"/>
      <c r="Z94" s="39"/>
      <c r="AA94" s="39"/>
      <c r="AB94" s="39" t="s">
        <v>13</v>
      </c>
      <c r="AC94" s="39"/>
      <c r="AD94" s="39"/>
      <c r="AE94" s="39"/>
      <c r="AF94" s="39"/>
      <c r="AG94" s="39"/>
      <c r="AH94" s="39"/>
      <c r="AI94" s="39"/>
      <c r="AJ94" s="39"/>
      <c r="AK94" s="39"/>
    </row>
    <row r="95" spans="1:37">
      <c r="A95" s="39"/>
      <c r="B95" s="39"/>
      <c r="C95" s="39"/>
      <c r="D95" s="39"/>
      <c r="E95" s="39" t="s">
        <v>368</v>
      </c>
      <c r="F95" s="39"/>
      <c r="G95" s="39"/>
      <c r="H95" s="39"/>
      <c r="I95" s="39"/>
      <c r="J95" s="39"/>
      <c r="K95" s="39"/>
      <c r="L95" s="39"/>
      <c r="M95" s="39"/>
      <c r="N95" s="39"/>
      <c r="O95" s="39"/>
      <c r="P95" s="39"/>
      <c r="Q95" s="39"/>
      <c r="R95" s="39"/>
      <c r="S95" s="39"/>
      <c r="T95" s="39"/>
      <c r="U95" s="39"/>
      <c r="V95" s="39"/>
      <c r="W95" s="39"/>
      <c r="X95" s="39"/>
      <c r="Y95" s="39"/>
      <c r="Z95" s="39"/>
      <c r="AA95" s="39"/>
      <c r="AB95" s="39"/>
      <c r="AC95" s="39" t="s">
        <v>17</v>
      </c>
      <c r="AD95" s="44">
        <f>$J$25</f>
        <v>50</v>
      </c>
      <c r="AE95" s="44">
        <f>$E$25+$Q$25</f>
        <v>450</v>
      </c>
      <c r="AF95" s="44">
        <f>$E$25+$Q$25</f>
        <v>450</v>
      </c>
      <c r="AG95" s="44"/>
      <c r="AH95" s="44">
        <f>$E$25</f>
        <v>50</v>
      </c>
      <c r="AI95" s="44">
        <f>$Q$25</f>
        <v>400</v>
      </c>
      <c r="AJ95" s="39"/>
      <c r="AK95" s="39"/>
    </row>
    <row r="96" spans="1:37">
      <c r="A96" s="39"/>
      <c r="B96" s="39"/>
      <c r="C96" s="39"/>
      <c r="D96" s="39"/>
      <c r="E96" s="39" t="s">
        <v>369</v>
      </c>
      <c r="F96" s="39"/>
      <c r="G96" s="39"/>
      <c r="H96" s="39"/>
      <c r="I96" s="39"/>
      <c r="J96" s="39"/>
      <c r="K96" s="39"/>
      <c r="L96" s="39"/>
      <c r="M96" s="39"/>
      <c r="N96" s="39"/>
      <c r="O96" s="39"/>
      <c r="P96" s="39"/>
      <c r="Q96" s="39"/>
      <c r="R96" s="39"/>
      <c r="S96" s="39"/>
      <c r="T96" s="39"/>
      <c r="U96" s="39"/>
      <c r="V96" s="39"/>
      <c r="W96" s="39"/>
      <c r="X96" s="39"/>
      <c r="Y96" s="39"/>
      <c r="Z96" s="39"/>
      <c r="AA96" s="39"/>
      <c r="AB96" s="39"/>
      <c r="AC96" s="39" t="s">
        <v>10</v>
      </c>
      <c r="AD96" s="44">
        <f>$E$38</f>
        <v>1</v>
      </c>
      <c r="AE96" s="44">
        <f>IF($Q$51=Choices!$B$36,$E$38+$Q$38,$Q$38)</f>
        <v>1</v>
      </c>
      <c r="AF96" s="44">
        <f>$E$38+$Q$38</f>
        <v>2</v>
      </c>
      <c r="AG96" s="44"/>
      <c r="AH96" s="44">
        <f>$E$38</f>
        <v>1</v>
      </c>
      <c r="AI96" s="44">
        <f>$Q$38</f>
        <v>1</v>
      </c>
      <c r="AJ96" s="39"/>
      <c r="AK96" s="39"/>
    </row>
    <row r="97" spans="1:37">
      <c r="A97" s="39"/>
      <c r="B97" s="39"/>
      <c r="C97" s="39"/>
      <c r="D97" s="39"/>
      <c r="E97" s="39" t="s">
        <v>370</v>
      </c>
      <c r="F97" s="39"/>
      <c r="G97" s="39"/>
      <c r="H97" s="39"/>
      <c r="I97" s="39"/>
      <c r="J97" s="39"/>
      <c r="K97" s="39"/>
      <c r="L97" s="39"/>
      <c r="M97" s="39"/>
      <c r="N97" s="39"/>
      <c r="O97" s="39"/>
      <c r="P97" s="39"/>
      <c r="Q97" s="39"/>
      <c r="R97" s="39"/>
      <c r="S97" s="39"/>
      <c r="T97" s="39"/>
      <c r="U97" s="39"/>
      <c r="V97" s="39"/>
      <c r="W97" s="39"/>
      <c r="X97" s="39"/>
      <c r="Y97" s="39"/>
      <c r="Z97" s="39"/>
      <c r="AA97" s="39"/>
      <c r="AB97" s="39"/>
      <c r="AC97" s="39" t="s">
        <v>18</v>
      </c>
      <c r="AD97" s="44">
        <f>IF(OR($J$30=Choices!$B$17,$J$31=Choices!$B$17,$J$32=Choices!$B$17,$J$33=Choices!$B$17),1,0)</f>
        <v>0</v>
      </c>
      <c r="AE97" s="44">
        <f>IF($Q$50=Choices!$B$36,IF(OR($E$30=Choices!$B$17,$E$31=Choices!$B$17,$E$32=Choices!$B$17,$E$33=Choices!$B$17,$Q$30=Choices!$B$17,$Q$31=Choices!$B$17,$Q$32=Choices!$B$17,$Q$33=Choices!$B$17),1,0),IF(OR($Q$30=Choices!$B$17,$Q$31=Choices!$B$17,$Q$32=Choices!$B$17,$Q$33=Choices!$B$17),1,0))</f>
        <v>0</v>
      </c>
      <c r="AF97" s="44">
        <f>IF(OR($E$30=Choices!$B$17,$E$31=Choices!$B$17,$E$32=Choices!$B$17,$E$33=Choices!$B$17,$Q$30=Choices!$B$17,$Q$31=Choices!$B$17,$Q$32=Choices!$B$17,$Q$33=Choices!$B$17),1,0)</f>
        <v>0</v>
      </c>
      <c r="AG97" s="44"/>
      <c r="AH97" s="44">
        <f>IF(OR($E$30=Choices!$B$17,$E$31=Choices!$B$17,$E$32=Choices!$B$17,$E$33=Choices!$B$17),1,0)</f>
        <v>0</v>
      </c>
      <c r="AI97" s="44">
        <f>IF(OR($Q$30=Choices!$B$17,$Q$31=Choices!$B$17,$Q$32=Choices!$B$17,$Q$33=Choices!$B$17),1,0)</f>
        <v>0</v>
      </c>
      <c r="AJ97" s="39"/>
      <c r="AK97" s="39"/>
    </row>
    <row r="98" spans="1:37">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t="s">
        <v>16</v>
      </c>
      <c r="AD98" s="44">
        <f>IF(OR($J$34=Choices!$B$20,$J$35=Choices!$B$20,$J$36=Choices!$B$20,$J$37=Choices!$B$20),1,0)</f>
        <v>0</v>
      </c>
      <c r="AE98" s="44">
        <f>IF($Q$51=Choices!$B$36,IF(OR($E$34=Choices!$B$20,$E$35=Choices!$B$20,$E$36=Choices!$B$20,$E$37=Choices!$B$20,$Q$34=Choices!$B$20,$Q$35=Choices!$B$20,$Q$36=Choices!$B$20,$Q$37=Choices!$B$20),1,0),IF(OR($Q$34=Choices!$B$20,$Q$35=Choices!$B$20,$Q$36=Choices!$B$20,$Q$37=Choices!$B$20),1,0))</f>
        <v>1</v>
      </c>
      <c r="AF98" s="44">
        <f>IF(OR($E$34=Choices!$B$20,$E$35=Choices!$B$20,$E$36=Choices!$B$20,$E$37=Choices!$B$20,$Q$34=Choices!$B$20,$Q$35=Choices!$B$20,$Q$36=Choices!$B$20,$Q$37=Choices!$B$20),1,0)</f>
        <v>1</v>
      </c>
      <c r="AG98" s="44"/>
      <c r="AH98" s="44">
        <f>IF(OR($E$34=Choices!$B$20,$E$35=Choices!$B$20,$E$36=Choices!$B$20,$E$37=Choices!$B$20),1,0)</f>
        <v>0</v>
      </c>
      <c r="AI98" s="44">
        <f>IF(OR($Q$34=Choices!$B$20,$Q$35=Choices!$B$20,$Q$36=Choices!$B$20,$Q$37=Choices!$B$20),1,0)</f>
        <v>1</v>
      </c>
      <c r="AJ98" s="39"/>
      <c r="AK98" s="39"/>
    </row>
    <row r="99" spans="1:37">
      <c r="A99" s="39"/>
      <c r="B99" s="39"/>
      <c r="C99" s="39"/>
      <c r="D99" s="39" t="s">
        <v>431</v>
      </c>
      <c r="E99" s="39"/>
      <c r="F99" s="39"/>
      <c r="G99" s="39"/>
      <c r="H99" s="39"/>
      <c r="I99" s="39"/>
      <c r="J99" s="39"/>
      <c r="K99" s="39"/>
      <c r="L99" s="39"/>
      <c r="M99" s="39"/>
      <c r="N99" s="39"/>
      <c r="O99" s="39"/>
      <c r="P99" s="39"/>
      <c r="Q99" s="39"/>
      <c r="R99" s="39"/>
      <c r="S99" s="39"/>
      <c r="T99" s="39"/>
      <c r="U99" s="39"/>
      <c r="V99" s="39"/>
      <c r="W99" s="39"/>
      <c r="X99" s="39"/>
      <c r="Y99" s="39"/>
      <c r="Z99" s="39"/>
      <c r="AA99" s="39"/>
      <c r="AB99" s="49"/>
      <c r="AC99" s="49"/>
      <c r="AD99" s="49"/>
      <c r="AE99" s="49"/>
      <c r="AF99" s="49"/>
      <c r="AG99" s="49"/>
      <c r="AH99" s="49"/>
      <c r="AI99" s="49"/>
      <c r="AJ99" s="39"/>
      <c r="AK99" s="39"/>
    </row>
    <row r="100" spans="1:37">
      <c r="A100" s="39"/>
      <c r="B100" s="39"/>
      <c r="C100" s="39"/>
      <c r="D100" s="39"/>
      <c r="E100" s="39" t="s">
        <v>373</v>
      </c>
      <c r="F100" s="39"/>
      <c r="G100" s="39"/>
      <c r="H100" s="39"/>
      <c r="I100" s="39"/>
      <c r="J100" s="39"/>
      <c r="K100" s="39"/>
      <c r="L100" s="39"/>
      <c r="M100" s="39"/>
      <c r="N100" s="39"/>
      <c r="O100" s="39"/>
      <c r="P100" s="39"/>
      <c r="Q100" s="39"/>
      <c r="R100" s="39"/>
      <c r="S100" s="39"/>
      <c r="T100" s="39"/>
      <c r="U100" s="39"/>
      <c r="V100" s="39"/>
      <c r="W100" s="39"/>
      <c r="X100" s="39"/>
      <c r="Y100" s="39"/>
      <c r="Z100" s="39"/>
      <c r="AA100" s="39"/>
      <c r="AB100" s="39" t="s">
        <v>14</v>
      </c>
      <c r="AC100" s="39"/>
      <c r="AD100" s="39"/>
      <c r="AE100" s="39"/>
      <c r="AF100" s="39"/>
      <c r="AG100" s="39"/>
      <c r="AH100" s="39"/>
      <c r="AI100" s="39"/>
      <c r="AJ100" s="39"/>
      <c r="AK100" s="39"/>
    </row>
    <row r="101" spans="1:37">
      <c r="A101" s="39"/>
      <c r="B101" s="39"/>
      <c r="C101" s="39"/>
      <c r="D101" s="39"/>
      <c r="E101" s="39" t="s">
        <v>381</v>
      </c>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t="s">
        <v>21</v>
      </c>
      <c r="AD101" s="44">
        <f>$J$26</f>
        <v>50</v>
      </c>
      <c r="AE101" s="44">
        <f>$E$26+$Q$26</f>
        <v>350</v>
      </c>
      <c r="AF101" s="44">
        <f>$E$26+$Q$26</f>
        <v>350</v>
      </c>
      <c r="AG101" s="44"/>
      <c r="AH101" s="44">
        <f>$E$26</f>
        <v>100</v>
      </c>
      <c r="AI101" s="44">
        <f>$Q$26</f>
        <v>250</v>
      </c>
      <c r="AJ101" s="39"/>
      <c r="AK101" s="39"/>
    </row>
    <row r="102" spans="1:37">
      <c r="A102" s="39"/>
      <c r="B102" s="39"/>
      <c r="C102" s="39"/>
      <c r="D102" s="39"/>
      <c r="E102" s="39" t="s">
        <v>472</v>
      </c>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t="s">
        <v>20</v>
      </c>
      <c r="AD102" s="44">
        <f>IF($J$23=Choices!$B$6,1,0)</f>
        <v>1</v>
      </c>
      <c r="AE102" s="44">
        <f>IF($Q$23=Choices!$B$6,1,0)</f>
        <v>0</v>
      </c>
      <c r="AF102" s="44">
        <f>IF($Q$23=Choices!$B$6,1,0)</f>
        <v>0</v>
      </c>
      <c r="AG102" s="44"/>
      <c r="AH102" s="44">
        <f>IF($E$23=Choices!$B$6,1,0)</f>
        <v>1</v>
      </c>
      <c r="AI102" s="44">
        <f>IF($Q$23=Choices!$B$6,1,0)</f>
        <v>0</v>
      </c>
      <c r="AJ102" s="39"/>
      <c r="AK102" s="39"/>
    </row>
    <row r="103" spans="1:37">
      <c r="A103" s="39"/>
      <c r="B103" s="39"/>
      <c r="C103" s="39"/>
      <c r="D103" s="39" t="s">
        <v>222</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row>
    <row r="104" spans="1:37">
      <c r="A104" s="39"/>
      <c r="B104" s="39"/>
      <c r="C104" s="39"/>
      <c r="D104" s="39"/>
      <c r="E104" s="39" t="s">
        <v>595</v>
      </c>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t="s">
        <v>169</v>
      </c>
      <c r="AD104" s="52">
        <f>IF(AD101="","",(AD101-'RC'!$I$28)/'RC'!$J$28*'RC'!$K$28+AD102*'RC'!$K$29+'RC'!$K$30)/1000</f>
        <v>1497.4581203876673</v>
      </c>
      <c r="AE104" s="52">
        <f>IF(AE101="","",(AE101-'RC'!$I$28)/'RC'!$J$28*'RC'!$K$28+AE102*'RC'!$K$29+'RC'!$K$30)/1000</f>
        <v>3226.336311250881</v>
      </c>
      <c r="AF104" s="52">
        <f>IF(AF101="","",(AF101-'RC'!$I$28)/'RC'!$J$28*'RC'!$K$28+AF102*'RC'!$K$29+'RC'!$K$30)/1000</f>
        <v>3226.336311250881</v>
      </c>
      <c r="AG104" s="52"/>
      <c r="AH104" s="52">
        <f>IF(AH101="","",(AH101-'RC'!$I$28)/'RC'!$J$28*'RC'!$K$28+AH102*'RC'!$K$29+'RC'!$K$30)/1000</f>
        <v>2019.8859732041299</v>
      </c>
      <c r="AI104" s="52">
        <f>IF(AI101="","",(AI101-'RC'!$I$28)/'RC'!$J$28*'RC'!$K$28+AI102*'RC'!$K$29+'RC'!$K$30)/1000</f>
        <v>2181.4806056179555</v>
      </c>
      <c r="AJ104" s="39"/>
      <c r="AK104" s="39"/>
    </row>
    <row r="105" spans="1:37">
      <c r="A105" s="39"/>
      <c r="B105" s="39"/>
      <c r="C105" s="39"/>
      <c r="D105" s="39"/>
      <c r="E105" s="39" t="s">
        <v>590</v>
      </c>
      <c r="F105" s="39"/>
      <c r="G105" s="39"/>
      <c r="H105" s="39"/>
      <c r="I105" s="39"/>
      <c r="J105" s="39"/>
      <c r="K105" s="39"/>
      <c r="L105" s="39"/>
      <c r="M105" s="39"/>
      <c r="N105" s="39"/>
      <c r="O105" s="39"/>
      <c r="P105" s="39"/>
      <c r="Q105" s="39"/>
      <c r="R105" s="39"/>
      <c r="S105" s="39"/>
      <c r="T105" s="39"/>
      <c r="U105" s="39"/>
      <c r="V105" s="39"/>
      <c r="W105" s="39"/>
      <c r="X105" s="39"/>
      <c r="Y105" s="39"/>
      <c r="Z105" s="39"/>
      <c r="AA105" s="39"/>
      <c r="AB105" s="49"/>
      <c r="AC105" s="49"/>
      <c r="AD105" s="49"/>
      <c r="AE105" s="49"/>
      <c r="AF105" s="49"/>
      <c r="AG105" s="49"/>
      <c r="AH105" s="49"/>
      <c r="AI105" s="49"/>
      <c r="AJ105" s="39"/>
      <c r="AK105" s="39"/>
    </row>
    <row r="106" spans="1:37">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119" t="s">
        <v>338</v>
      </c>
      <c r="AC106" s="53"/>
      <c r="AD106" s="53"/>
      <c r="AE106" s="39"/>
      <c r="AF106" s="39"/>
      <c r="AG106" s="39"/>
      <c r="AH106" s="39"/>
      <c r="AI106" s="39"/>
      <c r="AJ106" s="39"/>
      <c r="AK106" s="39"/>
    </row>
    <row r="107" spans="1:37">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t="s">
        <v>435</v>
      </c>
      <c r="AD107" s="39"/>
      <c r="AE107" s="39"/>
      <c r="AF107" s="39"/>
      <c r="AG107" s="44">
        <f>$Y$24+$Y$25</f>
        <v>9</v>
      </c>
      <c r="AH107" s="39"/>
      <c r="AI107" s="39"/>
      <c r="AJ107" s="39"/>
      <c r="AK107" s="39"/>
    </row>
    <row r="108" spans="1:37">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t="s">
        <v>436</v>
      </c>
      <c r="AD108" s="39"/>
      <c r="AE108" s="39"/>
      <c r="AF108" s="39"/>
      <c r="AG108" s="44">
        <f>$Y$24+$Y$26</f>
        <v>11</v>
      </c>
      <c r="AH108" s="39"/>
      <c r="AI108" s="39"/>
      <c r="AJ108" s="39"/>
      <c r="AK108" s="39"/>
    </row>
    <row r="109" spans="1:37">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53"/>
      <c r="AC109" s="40" t="s">
        <v>169</v>
      </c>
      <c r="AD109" s="53"/>
      <c r="AE109" s="39"/>
      <c r="AF109" s="39"/>
      <c r="AG109" s="44">
        <f>($AG$107*'RC'!$C$50+$AG$108*'RC'!$C$51)/1000</f>
        <v>139.6</v>
      </c>
      <c r="AH109" s="39"/>
      <c r="AI109" s="39"/>
      <c r="AJ109" s="39"/>
      <c r="AK109" s="39"/>
    </row>
    <row r="110" spans="1:37">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row>
    <row r="111" spans="1:37">
      <c r="AB111" s="6"/>
    </row>
    <row r="133" spans="9:9">
      <c r="I133" s="10"/>
    </row>
  </sheetData>
  <mergeCells count="5">
    <mergeCell ref="D13:D15"/>
    <mergeCell ref="I4:I5"/>
    <mergeCell ref="J4:J5"/>
    <mergeCell ref="Q11:Y17"/>
    <mergeCell ref="P55:Q55"/>
  </mergeCells>
  <phoneticPr fontId="1"/>
  <dataValidations xWindow="569" yWindow="847" count="5">
    <dataValidation type="whole" operator="greaterThan" allowBlank="1" showInputMessage="1" showErrorMessage="1" sqref="E24:E26 J24:J26 Y38 Y24:Y26 Y31 Q26 Y36" xr:uid="{3032C35B-F876-418A-BF4B-DAFDAEC75748}">
      <formula1>0</formula1>
    </dataValidation>
    <dataValidation type="whole" operator="greaterThan" allowBlank="1" showInputMessage="1" showErrorMessage="1" promptTitle="接続あるいは統合先の給水人口" prompt="接続あるいは統合前の現在給水人口を入力してください．" sqref="Q25" xr:uid="{A6DF78CA-0A4E-4963-B537-1870FFAF8AFE}">
      <formula1>0</formula1>
    </dataValidation>
    <dataValidation type="whole" operator="greaterThan" allowBlank="1" showInputMessage="1" showErrorMessage="1" promptTitle="接続先の余力確認" prompt="接続先の，計画給水人口と現在給水人口の差が，再編対象水道の現在給水人口より大きいことを確認してください" sqref="Q24" xr:uid="{E567FBB6-B39E-488A-B834-A1BE71289C40}">
      <formula1>0</formula1>
    </dataValidation>
    <dataValidation type="whole" operator="greaterThanOrEqual" allowBlank="1" showInputMessage="1" showErrorMessage="1" sqref="Y33 Q38 K42:K48 Y44 Y48 Y51 Y54 R42:R46 R48:R52 E38 J38 K50:K52" xr:uid="{28172236-A293-4B1E-A6B2-29A2039A7131}">
      <formula1>0</formula1>
    </dataValidation>
    <dataValidation type="whole" operator="greaterThanOrEqual" allowBlank="1" showInputMessage="1" showErrorMessage="1" promptTitle="配水池容量" prompt="一般的には，必要な日配水量の半分程度の容量を確保します．_x000a_配水池の容量を増やす場合は，配水池の数量を増やしてください．" sqref="K49 R47 K53" xr:uid="{A6448180-0D6D-44A4-82D9-AC606C50A482}">
      <formula1>0</formula1>
    </dataValidation>
  </dataValidations>
  <pageMargins left="0.70866141732283472" right="0.70866141732283472" top="0.74803149606299213" bottom="0.74803149606299213" header="0.31496062992125984" footer="0.31496062992125984"/>
  <pageSetup paperSize="8" scale="70" fitToWidth="0" orientation="landscape" r:id="rId1"/>
  <cellWatches>
    <cellWatch r="X73"/>
    <cellWatch r="W73"/>
  </cellWatches>
  <drawing r:id="rId2"/>
  <legacyDrawing r:id="rId3"/>
  <mc:AlternateContent xmlns:mc="http://schemas.openxmlformats.org/markup-compatibility/2006">
    <mc:Choice Requires="x14">
      <controls>
        <mc:AlternateContent xmlns:mc="http://schemas.openxmlformats.org/markup-compatibility/2006">
          <mc:Choice Requires="x14">
            <control shapeId="35846" r:id="rId4" name="Check Box 6">
              <controlPr locked="0" defaultSize="0" autoFill="0" autoLine="0" autoPict="0">
                <anchor moveWithCells="1">
                  <from>
                    <xdr:col>2</xdr:col>
                    <xdr:colOff>19050</xdr:colOff>
                    <xdr:row>4</xdr:row>
                    <xdr:rowOff>228600</xdr:rowOff>
                  </from>
                  <to>
                    <xdr:col>3</xdr:col>
                    <xdr:colOff>85725</xdr:colOff>
                    <xdr:row>6</xdr:row>
                    <xdr:rowOff>0</xdr:rowOff>
                  </to>
                </anchor>
              </controlPr>
            </control>
          </mc:Choice>
        </mc:AlternateContent>
        <mc:AlternateContent xmlns:mc="http://schemas.openxmlformats.org/markup-compatibility/2006">
          <mc:Choice Requires="x14">
            <control shapeId="35848" r:id="rId5" name="Check Box 8">
              <controlPr locked="0" defaultSize="0" autoFill="0" autoLine="0" autoPict="0">
                <anchor moveWithCells="1">
                  <from>
                    <xdr:col>2</xdr:col>
                    <xdr:colOff>19050</xdr:colOff>
                    <xdr:row>5</xdr:row>
                    <xdr:rowOff>228600</xdr:rowOff>
                  </from>
                  <to>
                    <xdr:col>3</xdr:col>
                    <xdr:colOff>85725</xdr:colOff>
                    <xdr:row>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0E0F4EC0-F7B5-4025-A1FA-D598EACC700D}">
            <xm:f>$J$4&lt;&gt;Choices!$B$26</xm:f>
            <x14:dxf>
              <fill>
                <patternFill>
                  <bgColor theme="6" tint="0.59996337778862885"/>
                </patternFill>
              </fill>
            </x14:dxf>
          </x14:cfRule>
          <xm:sqref>J23:J27 J30:J38</xm:sqref>
        </x14:conditionalFormatting>
        <x14:conditionalFormatting xmlns:xm="http://schemas.microsoft.com/office/excel/2006/main">
          <x14:cfRule type="expression" priority="12" id="{AE8BDC55-C872-4E37-9DFF-ED49058A81F4}">
            <xm:f>$J$4&lt;&gt;Choices!$B$26</xm:f>
            <x14:dxf>
              <fill>
                <patternFill>
                  <bgColor theme="6" tint="0.59996337778862885"/>
                </patternFill>
              </fill>
            </x14:dxf>
          </x14:cfRule>
          <x14:cfRule type="expression" priority="13" id="{3C20D309-297D-4D00-AE06-45C2E7D14B7F}">
            <xm:f>$J$4=Choices!$B$26</xm:f>
            <x14:dxf>
              <fill>
                <patternFill>
                  <bgColor theme="7" tint="0.79998168889431442"/>
                </patternFill>
              </fill>
            </x14:dxf>
          </x14:cfRule>
          <xm:sqref>J42:K53</xm:sqref>
        </x14:conditionalFormatting>
        <x14:conditionalFormatting xmlns:xm="http://schemas.microsoft.com/office/excel/2006/main">
          <x14:cfRule type="expression" priority="53" id="{B793815D-CC51-4302-8AB0-60F4D51C7C0C}">
            <xm:f>OR($J$4="",$J$4=Choices!$B$26,$J$4=Choices!$B$29)</xm:f>
            <x14:dxf>
              <fill>
                <patternFill>
                  <bgColor theme="0" tint="-0.14996795556505021"/>
                </patternFill>
              </fill>
            </x14:dxf>
          </x14:cfRule>
          <xm:sqref>Q23:Q27 Q30:Q38</xm:sqref>
        </x14:conditionalFormatting>
        <x14:conditionalFormatting xmlns:xm="http://schemas.microsoft.com/office/excel/2006/main">
          <x14:cfRule type="expression" priority="55" id="{CB6ED91C-6504-42CE-ABD0-65C669578B53}">
            <xm:f>$J$4&lt;&gt;Choices!$B$27</xm:f>
            <x14:dxf>
              <fill>
                <patternFill>
                  <bgColor theme="6" tint="0.59996337778862885"/>
                </patternFill>
              </fill>
            </x14:dxf>
          </x14:cfRule>
          <x14:cfRule type="expression" priority="56" id="{285056BA-9857-4080-9DB7-932DFACFEE14}">
            <xm:f>$J$4=Choices!$B$27</xm:f>
            <x14:dxf>
              <fill>
                <patternFill>
                  <bgColor theme="7" tint="0.79998168889431442"/>
                </patternFill>
              </fill>
            </x14:dxf>
          </x14:cfRule>
          <xm:sqref>Q43:R47 Q50:Q51 P55</xm:sqref>
        </x14:conditionalFormatting>
        <x14:conditionalFormatting xmlns:xm="http://schemas.microsoft.com/office/excel/2006/main">
          <x14:cfRule type="expression" priority="59" id="{D35E3497-0C3A-4149-8C66-BAC5ADF80858}">
            <xm:f>$J$4&lt;&gt;Choices!$B$29</xm:f>
            <x14:dxf>
              <fill>
                <patternFill>
                  <bgColor theme="6" tint="0.59996337778862885"/>
                </patternFill>
              </fill>
            </x14:dxf>
          </x14:cfRule>
          <xm:sqref>X23 Y24:Y26 Y31 Y33 Y36 Y38 X43:Y44 X46:Y48 X50:Y51 X53:Y54</xm:sqref>
        </x14:conditionalFormatting>
        <x14:conditionalFormatting xmlns:xm="http://schemas.microsoft.com/office/excel/2006/main">
          <x14:cfRule type="expression" priority="65" id="{C0BFC6E4-9686-48A8-8255-9EFAF2D32130}">
            <xm:f>$J$4=Choices!$B$29</xm:f>
            <x14:dxf>
              <fill>
                <patternFill>
                  <bgColor theme="9" tint="0.59996337778862885"/>
                </patternFill>
              </fill>
            </x14:dxf>
          </x14:cfRule>
          <xm:sqref>X43:Y43 X46:Y47 X50:Y50 X53:Y53</xm:sqref>
        </x14:conditionalFormatting>
        <x14:conditionalFormatting xmlns:xm="http://schemas.microsoft.com/office/excel/2006/main">
          <x14:cfRule type="expression" priority="73" id="{E1520C2C-2ED2-401E-97E3-347EDDFA6C49}">
            <xm:f>$J$4=Choices!$B$29</xm:f>
            <x14:dxf>
              <fill>
                <patternFill>
                  <bgColor theme="7" tint="0.79998168889431442"/>
                </patternFill>
              </fill>
            </x14:dxf>
          </x14:cfRule>
          <xm:sqref>X44:Y44 X48:Y48 X51:Y51 X54:Y54</xm:sqref>
        </x14:conditionalFormatting>
      </x14:conditionalFormattings>
    </ext>
    <ext xmlns:x14="http://schemas.microsoft.com/office/spreadsheetml/2009/9/main" uri="{CCE6A557-97BC-4b89-ADB6-D9C93CAAB3DF}">
      <x14:dataValidations xmlns:xm="http://schemas.microsoft.com/office/excel/2006/main" xWindow="569" yWindow="847" count="16">
        <x14:dataValidation type="list" allowBlank="1" showInputMessage="1" showErrorMessage="1" xr:uid="{83CF9163-4AB6-4F14-8A62-75DD3F5D86AE}">
          <x14:formula1>
            <xm:f>IC!$B$25:$B$31</xm:f>
          </x14:formula1>
          <xm:sqref>X47 J51</xm:sqref>
        </x14:dataValidation>
        <x14:dataValidation type="list" allowBlank="1" showInputMessage="1" showErrorMessage="1" xr:uid="{91FA56B2-2BC5-447C-A4FF-BD360E0ADCB8}">
          <x14:formula1>
            <xm:f>IC!$B$34:$B$37</xm:f>
          </x14:formula1>
          <xm:sqref>J48 Q46 J52</xm:sqref>
        </x14:dataValidation>
        <x14:dataValidation type="list" allowBlank="1" showInputMessage="1" showErrorMessage="1" xr:uid="{9E5C8845-EF7E-4997-9221-2B8855978EBA}">
          <x14:formula1>
            <xm:f>IC!$B$16:$B$23</xm:f>
          </x14:formula1>
          <xm:sqref>X53 X50 J50 X43 X46</xm:sqref>
        </x14:dataValidation>
        <x14:dataValidation type="list" allowBlank="1" showInputMessage="1" showErrorMessage="1" xr:uid="{3E78ACD7-3B40-4BB8-AB89-61467866B8CC}">
          <x14:formula1>
            <xm:f>IC!$B$5:$B$14</xm:f>
          </x14:formula1>
          <xm:sqref>J42:J45 Q43:Q46</xm:sqref>
        </x14:dataValidation>
        <x14:dataValidation type="list" allowBlank="1" showInputMessage="1" showErrorMessage="1" xr:uid="{24315C88-C9FF-4E5D-8454-7A37ABF0A968}">
          <x14:formula1>
            <xm:f>Choices!$B$11:$B$18</xm:f>
          </x14:formula1>
          <xm:sqref>E30:E33 Q30:Q33 J30:J33</xm:sqref>
        </x14:dataValidation>
        <x14:dataValidation type="list" allowBlank="1" showInputMessage="1" showErrorMessage="1" xr:uid="{9EABA251-9426-4D95-B4E5-84F45E9A0DA7}">
          <x14:formula1>
            <xm:f>Choices!$B$19:$B$25</xm:f>
          </x14:formula1>
          <xm:sqref>E34:E37 Q34:Q37</xm:sqref>
        </x14:dataValidation>
        <x14:dataValidation type="list" showInputMessage="1" showErrorMessage="1" xr:uid="{6E60DD25-0223-489D-B035-B19E8F4C0F02}">
          <x14:formula1>
            <xm:f>Choices!$B$36:$B$38</xm:f>
          </x14:formula1>
          <xm:sqref>Q50:Q51</xm:sqref>
        </x14:dataValidation>
        <x14:dataValidation type="list" allowBlank="1" showInputMessage="1" showErrorMessage="1" promptTitle="注意！" prompt="実際の水質に応じた処理を検討してください" xr:uid="{F4E690FB-CD1D-4F84-A4C2-758D863E9FC5}">
          <x14:formula1>
            <xm:f>Choices!$B$19:$B$25</xm:f>
          </x14:formula1>
          <xm:sqref>J34:J37</xm:sqref>
        </x14:dataValidation>
        <x14:dataValidation type="list" allowBlank="1" showInputMessage="1" showErrorMessage="1" xr:uid="{6F4B27A5-823E-4D32-A246-B1ECDB58E426}">
          <x14:formula1>
            <xm:f>Choices!$B$2:$B$7</xm:f>
          </x14:formula1>
          <xm:sqref>E23 Q23 J23</xm:sqref>
        </x14:dataValidation>
        <x14:dataValidation type="list" allowBlank="1" showInputMessage="1" showErrorMessage="1" prompt="自治体から地域への委託による場合は「水道利用組合等」を選択してください" xr:uid="{8B602C2F-FA28-4F47-8927-F42F8F63AC23}">
          <x14:formula1>
            <xm:f>Choices!$B$8:$B$10</xm:f>
          </x14:formula1>
          <xm:sqref>E27 Q27 J27</xm:sqref>
        </x14:dataValidation>
        <x14:dataValidation type="list" allowBlank="1" showInputMessage="1" showErrorMessage="1" promptTitle="配水池容量" prompt="一般的には，必要な日配水量の半分程度の容量を確保します．_x000a_配水池の容量を増やす場合は，配水池の数量を増やしてください．" xr:uid="{6EB3F3F1-7386-4321-A565-8C47C3C311A2}">
          <x14:formula1>
            <xm:f>IC!$B$39:$B$42</xm:f>
          </x14:formula1>
          <xm:sqref>J49 Q47 J53</xm:sqref>
        </x14:dataValidation>
        <x14:dataValidation type="list" allowBlank="1" showInputMessage="1" showErrorMessage="1" promptTitle="取水方式" prompt="(2)で選択した水源に応じて取水設備を選択してください．" xr:uid="{3F435DF1-B479-43D0-B7D5-648069407B96}">
          <x14:formula1>
            <xm:f>IC!$B$16:$B$23</xm:f>
          </x14:formula1>
          <xm:sqref>J46</xm:sqref>
        </x14:dataValidation>
        <x14:dataValidation type="list" allowBlank="1" showInputMessage="1" showErrorMessage="1" promptTitle="処理方式" prompt="(2)で選択した処理方式に応じて浄水設備を選択してください．" xr:uid="{B59F59FA-509B-44FF-9FE8-1E3AB4718227}">
          <x14:formula1>
            <xm:f>IC!$B$25:$B$31</xm:f>
          </x14:formula1>
          <xm:sqref>J47</xm:sqref>
        </x14:dataValidation>
        <x14:dataValidation type="list" allowBlank="1" showInputMessage="1" showErrorMessage="1" prompt="共同井戸の場合，井戸から各戸までを接続する配管について選択・入力してください．" xr:uid="{3B02B585-38A9-4A13-A08E-5FE1D88743F4}">
          <x14:formula1>
            <xm:f>IC!$B$5:$B$13</xm:f>
          </x14:formula1>
          <xm:sqref>X44 X48 X51 X54</xm:sqref>
        </x14:dataValidation>
        <x14:dataValidation type="list" showInputMessage="1" showErrorMessage="1" promptTitle="事業の統合" prompt="・事業を統合する：管路を接続するなど施設を一体化し，事業（および経営）を統合する場合です．_x000a_・事業を統合しない：管路は接続しますが，事業（および経営）は接続先と別々にする場合です．" xr:uid="{0464BA19-E53B-4730-A205-5D94044B38C9}">
          <x14:formula1>
            <xm:f>Choices!$B$40:$B$42</xm:f>
          </x14:formula1>
          <xm:sqref>P55:Q55</xm:sqref>
        </x14:dataValidation>
        <x14:dataValidation type="list" allowBlank="1" showInputMessage="1" showErrorMessage="1" xr:uid="{D5A81EBB-E97A-46A5-8345-4E1AF5DF11AE}">
          <x14:formula1>
            <xm:f>Choices!$B$26:$B$30</xm:f>
          </x14:formula1>
          <xm:sqref>J4:J5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はじめに</vt:lpstr>
      <vt:lpstr>シナリオ設定ガイド</vt:lpstr>
      <vt:lpstr>記入する際の留意点</vt:lpstr>
      <vt:lpstr>コスト推計の方法</vt:lpstr>
      <vt:lpstr>比較評価</vt:lpstr>
      <vt:lpstr>シナリオ1</vt:lpstr>
      <vt:lpstr>シナリオ2</vt:lpstr>
      <vt:lpstr>シナリオ3</vt:lpstr>
      <vt:lpstr>DEMO</vt:lpstr>
      <vt:lpstr>以降は非表示シート</vt:lpstr>
      <vt:lpstr>Choices</vt:lpstr>
      <vt:lpstr>IC</vt:lpstr>
      <vt:lpstr>RC</vt:lpstr>
      <vt:lpstr>Version</vt:lpstr>
      <vt:lpstr>DEMO!Print_Area</vt:lpstr>
      <vt:lpstr>コスト推計の方法!Print_Area</vt:lpstr>
      <vt:lpstr>シナリオ1!Print_Area</vt:lpstr>
      <vt:lpstr>シナリオ2!Print_Area</vt:lpstr>
      <vt:lpstr>シナリオ3!Print_Area</vt:lpstr>
      <vt:lpstr>シナリオ設定ガイド!Print_Area</vt:lpstr>
      <vt:lpstr>はじめに!Print_Area</vt:lpstr>
      <vt:lpstr>比較評価!Print_Area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uken</dc:creator>
  <cp:lastModifiedBy>長谷川　祥樹</cp:lastModifiedBy>
  <cp:lastPrinted>2025-02-12T01:30:38Z</cp:lastPrinted>
  <dcterms:created xsi:type="dcterms:W3CDTF">2024-01-15T06:35:55Z</dcterms:created>
  <dcterms:modified xsi:type="dcterms:W3CDTF">2025-02-12T08:32:20Z</dcterms:modified>
</cp:coreProperties>
</file>